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1.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https://d.docs.live.net/07d1fa8d6a79c74a/Documents/My Files/MEDstarts/New project Toolkit/Jordan conference 2022/"/>
    </mc:Choice>
  </mc:AlternateContent>
  <xr:revisionPtr revIDLastSave="32" documentId="8_{2CA18B36-A789-4FA4-B953-DD8F10666346}" xr6:coauthVersionLast="47" xr6:coauthVersionMax="47" xr10:uidLastSave="{DAD9F7F7-3D2C-433A-9186-3C060A69EE3A}"/>
  <bookViews>
    <workbookView xWindow="23700" yWindow="1740" windowWidth="20460" windowHeight="8775" tabRatio="881" activeTab="2" xr2:uid="{00000000-000D-0000-FFFF-FFFF00000000}"/>
  </bookViews>
  <sheets>
    <sheet name="Basic Info" sheetId="33" r:id="rId1"/>
    <sheet name="Parameters " sheetId="23" r:id="rId2"/>
    <sheet name="Required documentation" sheetId="36" r:id="rId3"/>
    <sheet name="Staffing" sheetId="19" r:id="rId4"/>
    <sheet name="Qualitative assessment" sheetId="28" r:id="rId5"/>
    <sheet name="Risk Assessment" sheetId="2" r:id="rId6"/>
    <sheet name="Portfolio details  " sheetId="5" r:id="rId7"/>
    <sheet name="Income Statement " sheetId="20" r:id="rId8"/>
    <sheet name="Balance Sheet " sheetId="3" r:id="rId9"/>
    <sheet name="Cashflow " sheetId="27" r:id="rId10"/>
    <sheet name="Debt and Funding" sheetId="18" r:id="rId11"/>
    <sheet name="Ratios " sheetId="22" r:id="rId12"/>
    <sheet name="Scoring" sheetId="29" r:id="rId13"/>
    <sheet name="Dashborad  " sheetId="16" r:id="rId14"/>
    <sheet name="DFI Matching " sheetId="30" r:id="rId15"/>
    <sheet name="Definitions " sheetId="21" r:id="rId16"/>
    <sheet name="Chart2" sheetId="38" state="hidden" r:id="rId17"/>
    <sheet name="Chart1" sheetId="37" state="hidden" r:id="rId18"/>
  </sheets>
  <externalReferences>
    <externalReference r:id="rId19"/>
  </externalReferences>
  <definedNames>
    <definedName name="_Toc105362002" localSheetId="4">'Qualitative assessment'!#REF!</definedName>
    <definedName name="Adjustements_information">#REF!</definedName>
    <definedName name="African_forum_info">#REF!</definedName>
    <definedName name="Balance_sheet">#REF!</definedName>
    <definedName name="Currency">#REF!</definedName>
    <definedName name="Divers">#REF!</definedName>
    <definedName name="Funding_tables">#REF!</definedName>
    <definedName name="Income_statement">#REF!</definedName>
    <definedName name="Info2">#REF!</definedName>
    <definedName name="Language">#REF!</definedName>
    <definedName name="LstInstitutionType">[1]Lists!$F$2:$F$9</definedName>
    <definedName name="LstLanguage">[1]Lists!$A$2:$A$3</definedName>
    <definedName name="LstMaleFemale">[1]Lists!$E$2:$E$3</definedName>
    <definedName name="LstYesNo">[1]Lists!$B$2:$B$3</definedName>
    <definedName name="MFI">#REF!</definedName>
    <definedName name="_xlnm.Print_Area" localSheetId="6">'Portfolio details  '!$A$1:$N$65</definedName>
    <definedName name="_xlnm.Print_Area" localSheetId="3">Staffing!$A$1:$H$35</definedName>
    <definedName name="Product_1">#REF!</definedName>
    <definedName name="Product_2">#REF!</definedName>
    <definedName name="Product_3">#REF!</definedName>
    <definedName name="Product_4">#REF!</definedName>
    <definedName name="Product_5">#REF!</definedName>
    <definedName name="Product_6">#REF!</definedName>
    <definedName name="Product_7">#REF!</definedName>
    <definedName name="Saving_1">#REF!</definedName>
    <definedName name="Saving_2">#REF!</definedName>
    <definedName name="Saving_3">#REF!</definedName>
    <definedName name="Saving_4">#REF!</definedName>
    <definedName name="Saving_5">#REF!</definedName>
    <definedName name="Saving_6">#REF!</definedName>
    <definedName name="Saving_7">#REF!</definedName>
    <definedName name="Savings_information">#REF!</definedName>
    <definedName name="Staff_information">#REF!</definedName>
    <definedName name="TOTAL_PORTFOLIO">#REF!</definedName>
    <definedName name="TOTAL_SAVINGS">#REF!</definedName>
    <definedName name="Translations">#REF!</definedName>
    <definedName name="Year0">#REF!</definedName>
    <definedName name="Year1">#REF!</definedName>
    <definedName name="Year2">#REF!</definedName>
    <definedName name="Year3">#REF!</definedName>
    <definedName name="Year4">#REF!</definedName>
    <definedName name="Yearend0">#REF!</definedName>
    <definedName name="Yearend1">#REF!</definedName>
    <definedName name="Yearend2">#REF!</definedName>
    <definedName name="Yearend3">#REF!</definedName>
    <definedName name="Yearend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2" i="22" l="1"/>
  <c r="E22" i="22"/>
  <c r="F22" i="22"/>
  <c r="G22" i="22"/>
  <c r="H22" i="22"/>
  <c r="I22" i="22"/>
  <c r="C22" i="22"/>
  <c r="J21" i="22"/>
  <c r="D21" i="22"/>
  <c r="E21" i="22"/>
  <c r="F21" i="22"/>
  <c r="G21" i="22"/>
  <c r="H21" i="22"/>
  <c r="I21" i="22"/>
  <c r="C21" i="22"/>
  <c r="C16" i="22"/>
  <c r="J20" i="5"/>
  <c r="J21" i="5"/>
  <c r="J22" i="5"/>
  <c r="J23" i="5"/>
  <c r="L23" i="5" s="1"/>
  <c r="N23" i="5" s="1"/>
  <c r="J19" i="5"/>
  <c r="L9" i="3"/>
  <c r="M9" i="3" s="1"/>
  <c r="K9" i="3"/>
  <c r="L7" i="3"/>
  <c r="K7" i="3"/>
  <c r="I38" i="27" s="1"/>
  <c r="E15" i="5"/>
  <c r="F15" i="5"/>
  <c r="G15" i="5"/>
  <c r="H15" i="5" s="1"/>
  <c r="E16" i="5"/>
  <c r="F16" i="5"/>
  <c r="G16" i="5" s="1"/>
  <c r="H16" i="5" s="1"/>
  <c r="I16" i="5" s="1"/>
  <c r="E17" i="5"/>
  <c r="F17" i="5"/>
  <c r="G17" i="5"/>
  <c r="H17" i="5" s="1"/>
  <c r="I17" i="5" s="1"/>
  <c r="D16" i="5"/>
  <c r="D17" i="5"/>
  <c r="D15" i="5"/>
  <c r="C14" i="5"/>
  <c r="N9" i="5"/>
  <c r="N10" i="5"/>
  <c r="N11" i="5"/>
  <c r="M10" i="5"/>
  <c r="M11" i="5"/>
  <c r="M9" i="5"/>
  <c r="M8" i="5"/>
  <c r="L10" i="5"/>
  <c r="L11" i="5"/>
  <c r="L9" i="5"/>
  <c r="L8" i="5"/>
  <c r="E9" i="5"/>
  <c r="F9" i="5"/>
  <c r="G9" i="5" s="1"/>
  <c r="H9" i="5" s="1"/>
  <c r="I9" i="5" s="1"/>
  <c r="E10" i="5"/>
  <c r="F10" i="5"/>
  <c r="G10" i="5"/>
  <c r="H10" i="5" s="1"/>
  <c r="I10" i="5" s="1"/>
  <c r="E11" i="5"/>
  <c r="F11" i="5"/>
  <c r="G11" i="5"/>
  <c r="H11" i="5" s="1"/>
  <c r="I11" i="5" s="1"/>
  <c r="D10" i="5"/>
  <c r="D11" i="5"/>
  <c r="D9" i="5"/>
  <c r="I43" i="3"/>
  <c r="I41" i="3"/>
  <c r="I45" i="3"/>
  <c r="C47" i="3"/>
  <c r="C41" i="3"/>
  <c r="D41" i="3"/>
  <c r="E41" i="3"/>
  <c r="F41" i="3"/>
  <c r="G41" i="3"/>
  <c r="H41" i="3"/>
  <c r="C43" i="3"/>
  <c r="D43" i="3"/>
  <c r="E43" i="3"/>
  <c r="F43" i="3"/>
  <c r="G43" i="3"/>
  <c r="H43" i="3"/>
  <c r="B43" i="3"/>
  <c r="D39" i="20"/>
  <c r="E39" i="20" s="1"/>
  <c r="F39" i="20" s="1"/>
  <c r="G39" i="20" s="1"/>
  <c r="H39" i="20" s="1"/>
  <c r="I39" i="20" s="1"/>
  <c r="J39" i="20" s="1"/>
  <c r="D38" i="20"/>
  <c r="E38" i="20" s="1"/>
  <c r="F38" i="20" s="1"/>
  <c r="G38" i="20" s="1"/>
  <c r="H38" i="20" s="1"/>
  <c r="I38" i="20" s="1"/>
  <c r="J38" i="20" s="1"/>
  <c r="D37" i="20"/>
  <c r="E37" i="20" s="1"/>
  <c r="F37" i="20" s="1"/>
  <c r="G37" i="20" s="1"/>
  <c r="H37" i="20" s="1"/>
  <c r="I37" i="20" s="1"/>
  <c r="J37" i="20" s="1"/>
  <c r="D36" i="20"/>
  <c r="E36" i="20" s="1"/>
  <c r="F36" i="20" s="1"/>
  <c r="G36" i="20" s="1"/>
  <c r="H36" i="20" s="1"/>
  <c r="I36" i="20" s="1"/>
  <c r="J36" i="20" s="1"/>
  <c r="D35" i="20"/>
  <c r="E35" i="20" s="1"/>
  <c r="F35" i="20" s="1"/>
  <c r="G35" i="20" s="1"/>
  <c r="H35" i="20" s="1"/>
  <c r="I35" i="20" s="1"/>
  <c r="J35" i="20" s="1"/>
  <c r="E34" i="20"/>
  <c r="F34" i="20" s="1"/>
  <c r="G34" i="20" s="1"/>
  <c r="H34" i="20" s="1"/>
  <c r="I34" i="20" s="1"/>
  <c r="J34" i="20" s="1"/>
  <c r="D34" i="20"/>
  <c r="D33" i="20"/>
  <c r="E33" i="20" s="1"/>
  <c r="F33" i="20" s="1"/>
  <c r="G33" i="20" s="1"/>
  <c r="H33" i="20" s="1"/>
  <c r="I33" i="20" s="1"/>
  <c r="J33" i="20" s="1"/>
  <c r="E32" i="20"/>
  <c r="F32" i="20" s="1"/>
  <c r="G32" i="20" s="1"/>
  <c r="H32" i="20" s="1"/>
  <c r="I32" i="20" s="1"/>
  <c r="J32" i="20" s="1"/>
  <c r="D32" i="20"/>
  <c r="D31" i="20"/>
  <c r="E31" i="20" s="1"/>
  <c r="F31" i="20" s="1"/>
  <c r="G31" i="20" s="1"/>
  <c r="H31" i="20" s="1"/>
  <c r="I31" i="20" s="1"/>
  <c r="J31" i="20" s="1"/>
  <c r="D30" i="20"/>
  <c r="E30" i="20" s="1"/>
  <c r="F30" i="20" s="1"/>
  <c r="G30" i="20" s="1"/>
  <c r="H30" i="20" s="1"/>
  <c r="I30" i="20" s="1"/>
  <c r="J30" i="20" s="1"/>
  <c r="K23" i="20"/>
  <c r="K22" i="20"/>
  <c r="K21" i="20"/>
  <c r="K18" i="20"/>
  <c r="K17" i="20"/>
  <c r="K16" i="20"/>
  <c r="K9" i="20"/>
  <c r="K10" i="20"/>
  <c r="K11" i="20"/>
  <c r="K12" i="20"/>
  <c r="K8" i="20"/>
  <c r="E22" i="20"/>
  <c r="E12" i="27" s="1"/>
  <c r="D22" i="20"/>
  <c r="D16" i="20"/>
  <c r="E16" i="20" s="1"/>
  <c r="F16" i="20" s="1"/>
  <c r="G16" i="20" s="1"/>
  <c r="H16" i="20" s="1"/>
  <c r="I16" i="20" s="1"/>
  <c r="J16" i="20" s="1"/>
  <c r="D19" i="20"/>
  <c r="D21" i="20" s="1"/>
  <c r="D12" i="20"/>
  <c r="E12" i="20" s="1"/>
  <c r="F12" i="20" s="1"/>
  <c r="G12" i="20" s="1"/>
  <c r="H12" i="20" s="1"/>
  <c r="I12" i="20" s="1"/>
  <c r="J12" i="20" s="1"/>
  <c r="E11" i="20"/>
  <c r="F11" i="20" s="1"/>
  <c r="G11" i="20" s="1"/>
  <c r="H11" i="20" s="1"/>
  <c r="I11" i="20" s="1"/>
  <c r="J11" i="20" s="1"/>
  <c r="D11" i="20"/>
  <c r="E10" i="20"/>
  <c r="F10" i="20" s="1"/>
  <c r="G10" i="20" s="1"/>
  <c r="H10" i="20" s="1"/>
  <c r="I10" i="20" s="1"/>
  <c r="J10" i="20" s="1"/>
  <c r="D10" i="20"/>
  <c r="D9" i="20"/>
  <c r="E9" i="20" s="1"/>
  <c r="F9" i="20" s="1"/>
  <c r="G9" i="20" s="1"/>
  <c r="H9" i="20" s="1"/>
  <c r="I9" i="20" s="1"/>
  <c r="J9" i="20" s="1"/>
  <c r="D8" i="20"/>
  <c r="E8" i="20" s="1"/>
  <c r="F8" i="20" s="1"/>
  <c r="G8" i="20" s="1"/>
  <c r="H8" i="20" s="1"/>
  <c r="I8" i="20" s="1"/>
  <c r="J8" i="20" s="1"/>
  <c r="I30" i="3"/>
  <c r="I29" i="3"/>
  <c r="I28" i="3"/>
  <c r="I27" i="3"/>
  <c r="I26" i="3"/>
  <c r="D26" i="3"/>
  <c r="E26" i="3" s="1"/>
  <c r="F26" i="3" s="1"/>
  <c r="G26" i="3" s="1"/>
  <c r="H26" i="3" s="1"/>
  <c r="C26" i="3"/>
  <c r="D20" i="27" s="1"/>
  <c r="I21" i="3"/>
  <c r="H21" i="3"/>
  <c r="G21" i="3"/>
  <c r="F21" i="3"/>
  <c r="E21" i="3"/>
  <c r="D21" i="3"/>
  <c r="C21" i="3"/>
  <c r="B21" i="3"/>
  <c r="I20" i="3"/>
  <c r="H20" i="3"/>
  <c r="G20" i="3"/>
  <c r="F20" i="3"/>
  <c r="E20" i="3"/>
  <c r="D20" i="3"/>
  <c r="C20" i="3"/>
  <c r="B20" i="3"/>
  <c r="I19" i="3"/>
  <c r="H19" i="3"/>
  <c r="D19" i="3"/>
  <c r="E19" i="3" s="1"/>
  <c r="F19" i="3" s="1"/>
  <c r="G19" i="3" s="1"/>
  <c r="D14" i="3"/>
  <c r="E14" i="3" s="1"/>
  <c r="F14" i="3" s="1"/>
  <c r="G14" i="3" s="1"/>
  <c r="H14" i="3" s="1"/>
  <c r="I14" i="3" s="1"/>
  <c r="C14" i="3"/>
  <c r="I13" i="3"/>
  <c r="D13" i="3"/>
  <c r="E13" i="3" s="1"/>
  <c r="F13" i="3" s="1"/>
  <c r="G13" i="3" s="1"/>
  <c r="H13" i="3" s="1"/>
  <c r="C13" i="3"/>
  <c r="I11" i="3"/>
  <c r="H11" i="3"/>
  <c r="F11" i="3"/>
  <c r="G11" i="3"/>
  <c r="E11" i="3"/>
  <c r="D11" i="3"/>
  <c r="C11" i="3"/>
  <c r="F9" i="3"/>
  <c r="G9" i="3" s="1"/>
  <c r="H9" i="3" s="1"/>
  <c r="I9" i="3" s="1"/>
  <c r="E9" i="3"/>
  <c r="I7" i="3"/>
  <c r="D7" i="3"/>
  <c r="F38" i="27" s="1"/>
  <c r="M23" i="5"/>
  <c r="E20" i="5"/>
  <c r="F20" i="5" s="1"/>
  <c r="G20" i="5" s="1"/>
  <c r="H20" i="5" s="1"/>
  <c r="I20" i="5" s="1"/>
  <c r="E23" i="5"/>
  <c r="F23" i="5"/>
  <c r="G23" i="5" s="1"/>
  <c r="H23" i="5" s="1"/>
  <c r="I23" i="5" s="1"/>
  <c r="D21" i="5"/>
  <c r="D18" i="22" s="1"/>
  <c r="D22" i="5"/>
  <c r="E22" i="5" s="1"/>
  <c r="D23" i="5"/>
  <c r="D20" i="5"/>
  <c r="L31" i="22"/>
  <c r="N45" i="22"/>
  <c r="M45" i="22"/>
  <c r="L45" i="22"/>
  <c r="N44" i="22"/>
  <c r="M44" i="22"/>
  <c r="L44" i="22"/>
  <c r="N39" i="22"/>
  <c r="M39" i="22"/>
  <c r="L39" i="22"/>
  <c r="N38" i="22"/>
  <c r="M38" i="22"/>
  <c r="L38" i="22"/>
  <c r="N36" i="22"/>
  <c r="M36" i="22"/>
  <c r="L36" i="22"/>
  <c r="N35" i="22"/>
  <c r="M35" i="22"/>
  <c r="L35" i="22"/>
  <c r="N34" i="22"/>
  <c r="M34" i="22"/>
  <c r="L34" i="22"/>
  <c r="N33" i="22"/>
  <c r="M33" i="22"/>
  <c r="L33" i="22"/>
  <c r="N32" i="22"/>
  <c r="M32" i="22"/>
  <c r="L32" i="22"/>
  <c r="N31" i="22"/>
  <c r="M31" i="22"/>
  <c r="N30" i="22"/>
  <c r="M30" i="22"/>
  <c r="L30" i="22"/>
  <c r="N29" i="22"/>
  <c r="M29" i="22"/>
  <c r="L29" i="22"/>
  <c r="N28" i="22"/>
  <c r="M28" i="22"/>
  <c r="L28" i="22"/>
  <c r="N20" i="22"/>
  <c r="M20" i="22"/>
  <c r="L20" i="22"/>
  <c r="N19" i="22"/>
  <c r="M19" i="22"/>
  <c r="L19" i="22"/>
  <c r="N18" i="22"/>
  <c r="M18" i="22"/>
  <c r="L18" i="22"/>
  <c r="N17" i="22"/>
  <c r="M17" i="22"/>
  <c r="L17" i="22"/>
  <c r="N16" i="22"/>
  <c r="M16" i="22"/>
  <c r="L16" i="22"/>
  <c r="N15" i="22"/>
  <c r="M15" i="22"/>
  <c r="L15" i="22"/>
  <c r="N13" i="22"/>
  <c r="M13" i="22"/>
  <c r="L13" i="22"/>
  <c r="N12" i="22"/>
  <c r="M12" i="22"/>
  <c r="L12" i="22"/>
  <c r="N11" i="22"/>
  <c r="M11" i="22"/>
  <c r="L11" i="22"/>
  <c r="N10" i="22"/>
  <c r="M10" i="22"/>
  <c r="L10" i="22"/>
  <c r="N9" i="22"/>
  <c r="M9" i="22"/>
  <c r="L9" i="22"/>
  <c r="N8" i="22"/>
  <c r="M8" i="22"/>
  <c r="L8" i="22"/>
  <c r="D19" i="22"/>
  <c r="E19" i="22"/>
  <c r="F19" i="22"/>
  <c r="C19" i="22"/>
  <c r="C18" i="22"/>
  <c r="C16" i="27"/>
  <c r="C17" i="22"/>
  <c r="J30" i="27"/>
  <c r="I30" i="27"/>
  <c r="I29" i="27"/>
  <c r="J38" i="27"/>
  <c r="J18" i="27"/>
  <c r="J20" i="27"/>
  <c r="I20" i="27"/>
  <c r="I18" i="27"/>
  <c r="I14" i="27"/>
  <c r="J14" i="27"/>
  <c r="H14" i="27"/>
  <c r="I12" i="27"/>
  <c r="J12" i="27"/>
  <c r="I13" i="27"/>
  <c r="J13" i="27"/>
  <c r="H13" i="27"/>
  <c r="H12" i="27"/>
  <c r="D38" i="27"/>
  <c r="E38" i="27"/>
  <c r="E30" i="27"/>
  <c r="C60" i="3"/>
  <c r="D60" i="3"/>
  <c r="E29" i="27" s="1"/>
  <c r="E60" i="3"/>
  <c r="F60" i="3"/>
  <c r="G60" i="3"/>
  <c r="H60" i="3"/>
  <c r="J60" i="3"/>
  <c r="K60" i="3"/>
  <c r="L60" i="3"/>
  <c r="M60" i="3"/>
  <c r="J29" i="27" s="1"/>
  <c r="B60" i="3"/>
  <c r="D29" i="27" s="1"/>
  <c r="E18" i="27"/>
  <c r="D18" i="27"/>
  <c r="D12" i="27"/>
  <c r="D13" i="27"/>
  <c r="E13" i="27"/>
  <c r="F13" i="27"/>
  <c r="D14" i="27"/>
  <c r="E14" i="27"/>
  <c r="F14" i="27"/>
  <c r="C15" i="27"/>
  <c r="C14" i="27"/>
  <c r="I35" i="36"/>
  <c r="K35" i="36"/>
  <c r="D69" i="5"/>
  <c r="E69" i="5"/>
  <c r="F69" i="5"/>
  <c r="G69" i="5" s="1"/>
  <c r="D78" i="5"/>
  <c r="E78" i="5"/>
  <c r="F78" i="5"/>
  <c r="G78" i="5"/>
  <c r="D82" i="5"/>
  <c r="E82" i="5"/>
  <c r="F82" i="5"/>
  <c r="G82" i="5"/>
  <c r="D87" i="5"/>
  <c r="E87" i="5"/>
  <c r="F87" i="5"/>
  <c r="G87" i="5"/>
  <c r="D92" i="5"/>
  <c r="E92" i="5"/>
  <c r="F92" i="5"/>
  <c r="G92" i="5"/>
  <c r="D97" i="5"/>
  <c r="E97" i="5"/>
  <c r="F97" i="5"/>
  <c r="G97" i="5"/>
  <c r="D113" i="5"/>
  <c r="E113" i="5"/>
  <c r="F113" i="5"/>
  <c r="G113" i="5"/>
  <c r="E15" i="27" l="1"/>
  <c r="F22" i="5"/>
  <c r="D15" i="27"/>
  <c r="D16" i="27"/>
  <c r="E21" i="5"/>
  <c r="I15" i="5"/>
  <c r="I19" i="22" s="1"/>
  <c r="H19" i="22"/>
  <c r="G19" i="22"/>
  <c r="F22" i="20"/>
  <c r="E20" i="27"/>
  <c r="N18" i="29"/>
  <c r="N17" i="29"/>
  <c r="N16" i="29"/>
  <c r="M16" i="29"/>
  <c r="N15" i="29"/>
  <c r="N14" i="29"/>
  <c r="N10" i="29"/>
  <c r="D243" i="2"/>
  <c r="D227" i="2"/>
  <c r="D201" i="2"/>
  <c r="D193" i="2"/>
  <c r="D181" i="2"/>
  <c r="D157" i="2"/>
  <c r="D131" i="2"/>
  <c r="D86" i="2"/>
  <c r="D49" i="2"/>
  <c r="D39" i="2"/>
  <c r="D28" i="2"/>
  <c r="D15" i="28"/>
  <c r="D70" i="28"/>
  <c r="D53" i="28"/>
  <c r="D41" i="28"/>
  <c r="D28" i="28"/>
  <c r="D24" i="29"/>
  <c r="F24" i="29" s="1"/>
  <c r="I24" i="29" s="1"/>
  <c r="D23" i="29"/>
  <c r="F23" i="29" s="1"/>
  <c r="I23" i="29" s="1"/>
  <c r="D21" i="29"/>
  <c r="F21" i="29" s="1"/>
  <c r="D20" i="29"/>
  <c r="F20" i="29" s="1"/>
  <c r="I20" i="29" s="1"/>
  <c r="M17" i="29" s="1"/>
  <c r="D18" i="29"/>
  <c r="F18" i="29" s="1"/>
  <c r="D17" i="29"/>
  <c r="F17" i="29" s="1"/>
  <c r="D15" i="29"/>
  <c r="F15" i="29" s="1"/>
  <c r="I15" i="29" s="1"/>
  <c r="D14" i="29"/>
  <c r="F14" i="29" s="1"/>
  <c r="I14" i="29" s="1"/>
  <c r="D13" i="29"/>
  <c r="F13" i="29" s="1"/>
  <c r="I13" i="29" s="1"/>
  <c r="D12" i="29"/>
  <c r="F12" i="29" s="1"/>
  <c r="I12" i="29" s="1"/>
  <c r="J28" i="22"/>
  <c r="F15" i="27" l="1"/>
  <c r="G22" i="5"/>
  <c r="H22" i="5" s="1"/>
  <c r="I22" i="5" s="1"/>
  <c r="E18" i="22"/>
  <c r="E16" i="27"/>
  <c r="F21" i="5"/>
  <c r="G22" i="20"/>
  <c r="H22" i="20" s="1"/>
  <c r="I22" i="20" s="1"/>
  <c r="J22" i="20" s="1"/>
  <c r="F12" i="27"/>
  <c r="M18" i="29"/>
  <c r="M15" i="29"/>
  <c r="N19" i="29"/>
  <c r="D10" i="29"/>
  <c r="F10" i="29" s="1"/>
  <c r="I10" i="29" s="1"/>
  <c r="F16" i="27" l="1"/>
  <c r="G21" i="5"/>
  <c r="F18" i="22"/>
  <c r="I25" i="29"/>
  <c r="I26" i="29" s="1"/>
  <c r="M7" i="29" s="1"/>
  <c r="M14" i="29"/>
  <c r="M19" i="29" s="1"/>
  <c r="J45" i="22"/>
  <c r="J44" i="22"/>
  <c r="J39" i="22"/>
  <c r="J38" i="22"/>
  <c r="J34" i="22"/>
  <c r="J35" i="22"/>
  <c r="J36" i="22"/>
  <c r="J33" i="22"/>
  <c r="J32" i="22"/>
  <c r="J31" i="22"/>
  <c r="J30" i="22"/>
  <c r="C71" i="28"/>
  <c r="D71" i="28" s="1"/>
  <c r="M10" i="28" s="1"/>
  <c r="C54" i="28"/>
  <c r="C42" i="28"/>
  <c r="D42" i="28" s="1"/>
  <c r="M8" i="28" s="1"/>
  <c r="C29" i="28"/>
  <c r="C16" i="28"/>
  <c r="D16" i="28" s="1"/>
  <c r="M6" i="28" s="1"/>
  <c r="L10" i="28"/>
  <c r="L9" i="28"/>
  <c r="L8" i="28"/>
  <c r="L7" i="28"/>
  <c r="C50" i="2"/>
  <c r="D50" i="2" s="1"/>
  <c r="K13" i="2"/>
  <c r="K5" i="2"/>
  <c r="C40" i="2"/>
  <c r="D40" i="2" s="1"/>
  <c r="M4" i="2" s="1"/>
  <c r="N4" i="2" s="1"/>
  <c r="C244" i="2"/>
  <c r="D244" i="2" s="1"/>
  <c r="M13" i="2" s="1"/>
  <c r="N13" i="2" s="1"/>
  <c r="C228" i="2"/>
  <c r="D228" i="2" s="1"/>
  <c r="M12" i="2" s="1"/>
  <c r="N12" i="2" s="1"/>
  <c r="C202" i="2"/>
  <c r="D202" i="2" s="1"/>
  <c r="M11" i="2" s="1"/>
  <c r="N11" i="2" s="1"/>
  <c r="C194" i="2"/>
  <c r="D194" i="2" s="1"/>
  <c r="M10" i="2" s="1"/>
  <c r="N10" i="2" s="1"/>
  <c r="C182" i="2"/>
  <c r="D182" i="2" s="1"/>
  <c r="M9" i="2" s="1"/>
  <c r="N9" i="2" s="1"/>
  <c r="C158" i="2"/>
  <c r="C132" i="2"/>
  <c r="D132" i="2" s="1"/>
  <c r="M7" i="2" s="1"/>
  <c r="N7" i="2" s="1"/>
  <c r="C87" i="2"/>
  <c r="D87" i="2" s="1"/>
  <c r="C29" i="2"/>
  <c r="D29" i="2" s="1"/>
  <c r="M3" i="2" s="1"/>
  <c r="N3" i="2" s="1"/>
  <c r="C15" i="2"/>
  <c r="D15" i="2" s="1"/>
  <c r="M2" i="2" s="1"/>
  <c r="N2" i="2" s="1"/>
  <c r="G18" i="22" l="1"/>
  <c r="H21" i="5"/>
  <c r="D54" i="28"/>
  <c r="M9" i="28" s="1"/>
  <c r="D158" i="2"/>
  <c r="M8" i="2" s="1"/>
  <c r="N8" i="2" s="1"/>
  <c r="C245" i="2"/>
  <c r="D245" i="2" s="1"/>
  <c r="D28" i="29" s="1"/>
  <c r="I28" i="29" s="1"/>
  <c r="M9" i="29" s="1"/>
  <c r="D29" i="28"/>
  <c r="M7" i="28" s="1"/>
  <c r="C72" i="28"/>
  <c r="D72" i="28" s="1"/>
  <c r="D27" i="29" s="1"/>
  <c r="I27" i="29" s="1"/>
  <c r="M8" i="29" s="1"/>
  <c r="M5" i="2"/>
  <c r="N5" i="2" s="1"/>
  <c r="M6" i="2"/>
  <c r="N6" i="2" s="1"/>
  <c r="I21" i="5" l="1"/>
  <c r="I18" i="22" s="1"/>
  <c r="H18" i="22"/>
  <c r="M10" i="29"/>
  <c r="I29" i="29"/>
  <c r="H29" i="29" l="1"/>
  <c r="G26" i="29"/>
  <c r="J54" i="22"/>
  <c r="J55" i="22"/>
  <c r="G3" i="22" l="1"/>
  <c r="H3" i="22"/>
  <c r="I3" i="22"/>
  <c r="F3" i="22"/>
  <c r="D3" i="22"/>
  <c r="E3" i="22"/>
  <c r="J3" i="22" s="1"/>
  <c r="C3" i="22"/>
  <c r="M3" i="22"/>
  <c r="N3" i="22" s="1"/>
  <c r="M50" i="19" l="1"/>
  <c r="L50" i="19"/>
  <c r="K50" i="19"/>
  <c r="D50" i="19"/>
  <c r="E50" i="19"/>
  <c r="F50" i="19"/>
  <c r="G50" i="19"/>
  <c r="H50" i="19"/>
  <c r="C50" i="19"/>
  <c r="I49" i="19"/>
  <c r="C37" i="19"/>
  <c r="K37" i="19"/>
  <c r="C38" i="19"/>
  <c r="K38" i="19"/>
  <c r="F40" i="19"/>
  <c r="G40" i="19"/>
  <c r="H40" i="19"/>
  <c r="I40" i="19"/>
  <c r="C43" i="19"/>
  <c r="D43" i="19"/>
  <c r="E43" i="19"/>
  <c r="F43" i="19"/>
  <c r="G43" i="19"/>
  <c r="H43" i="19"/>
  <c r="I43" i="19"/>
  <c r="I47" i="19"/>
  <c r="I48" i="19"/>
  <c r="I50" i="19" s="1"/>
  <c r="J53" i="22" l="1"/>
  <c r="J52" i="22"/>
  <c r="J51" i="22"/>
  <c r="J50" i="22"/>
  <c r="J49" i="22"/>
  <c r="J48" i="22"/>
  <c r="J47" i="22"/>
  <c r="J46" i="22"/>
  <c r="J43" i="22"/>
  <c r="J42" i="22"/>
  <c r="J41" i="22"/>
  <c r="J40" i="22"/>
  <c r="J37" i="22"/>
  <c r="J29" i="22"/>
  <c r="J14" i="22"/>
  <c r="J13" i="22"/>
  <c r="J7" i="22"/>
  <c r="J6" i="22"/>
  <c r="J25" i="5" l="1"/>
  <c r="I24" i="5"/>
  <c r="I19" i="5" s="1"/>
  <c r="H24" i="5"/>
  <c r="H19" i="5" s="1"/>
  <c r="G24" i="5"/>
  <c r="G19" i="5" s="1"/>
  <c r="F24" i="5"/>
  <c r="F19" i="5" s="1"/>
  <c r="E24" i="5"/>
  <c r="D24" i="5"/>
  <c r="D19" i="5" s="1"/>
  <c r="C24" i="5"/>
  <c r="C19" i="5" s="1"/>
  <c r="M22" i="5" l="1"/>
  <c r="I15" i="27" s="1"/>
  <c r="L22" i="5"/>
  <c r="J18" i="22"/>
  <c r="L21" i="5"/>
  <c r="M21" i="5"/>
  <c r="I16" i="27" s="1"/>
  <c r="J24" i="5"/>
  <c r="L19" i="5" s="1"/>
  <c r="E19" i="5"/>
  <c r="F63" i="22" s="1"/>
  <c r="I16" i="22"/>
  <c r="I17" i="22"/>
  <c r="D20" i="22"/>
  <c r="D63" i="22"/>
  <c r="I63" i="22"/>
  <c r="I20" i="22"/>
  <c r="H63" i="22"/>
  <c r="E63" i="22"/>
  <c r="L16" i="2"/>
  <c r="H15" i="27" l="1"/>
  <c r="N22" i="5"/>
  <c r="J15" i="27" s="1"/>
  <c r="H16" i="27"/>
  <c r="N21" i="5"/>
  <c r="J16" i="27" s="1"/>
  <c r="G16" i="22"/>
  <c r="G17" i="22"/>
  <c r="J20" i="22"/>
  <c r="J16" i="22"/>
  <c r="J17" i="22"/>
  <c r="H16" i="22"/>
  <c r="H17" i="22"/>
  <c r="H20" i="22"/>
  <c r="E17" i="22"/>
  <c r="E20" i="22"/>
  <c r="E16" i="22"/>
  <c r="D17" i="22"/>
  <c r="D16" i="22"/>
  <c r="G63" i="22"/>
  <c r="J63" i="22"/>
  <c r="L20" i="5"/>
  <c r="L24" i="5" s="1"/>
  <c r="M20" i="5" s="1"/>
  <c r="M24" i="5" s="1"/>
  <c r="E63" i="18"/>
  <c r="E64" i="18"/>
  <c r="F64" i="18" s="1"/>
  <c r="G64" i="18" s="1"/>
  <c r="H64" i="18" s="1"/>
  <c r="J64" i="18" s="1"/>
  <c r="K64" i="18" s="1"/>
  <c r="L64" i="18" s="1"/>
  <c r="E65" i="18"/>
  <c r="F65" i="18" s="1"/>
  <c r="G65" i="18" s="1"/>
  <c r="H65" i="18" s="1"/>
  <c r="J65" i="18" s="1"/>
  <c r="K65" i="18" s="1"/>
  <c r="L65" i="18" s="1"/>
  <c r="E66" i="18"/>
  <c r="F66" i="18" s="1"/>
  <c r="G66" i="18" s="1"/>
  <c r="H66" i="18" s="1"/>
  <c r="J66" i="18" s="1"/>
  <c r="K66" i="18" s="1"/>
  <c r="L66" i="18" s="1"/>
  <c r="E67" i="18"/>
  <c r="F67" i="18" s="1"/>
  <c r="G67" i="18" s="1"/>
  <c r="H67" i="18" s="1"/>
  <c r="J67" i="18" s="1"/>
  <c r="K67" i="18" s="1"/>
  <c r="L67" i="18" s="1"/>
  <c r="E68" i="18"/>
  <c r="F68" i="18" s="1"/>
  <c r="G68" i="18" s="1"/>
  <c r="H68" i="18" s="1"/>
  <c r="J68" i="18" s="1"/>
  <c r="K68" i="18" s="1"/>
  <c r="L68" i="18" s="1"/>
  <c r="E62" i="18"/>
  <c r="F62" i="18" s="1"/>
  <c r="G62" i="18" s="1"/>
  <c r="H62" i="18" s="1"/>
  <c r="J62" i="18" s="1"/>
  <c r="K62" i="18" s="1"/>
  <c r="L62" i="18" s="1"/>
  <c r="B58" i="18"/>
  <c r="B68" i="18" s="1"/>
  <c r="B57" i="18"/>
  <c r="B67" i="18" s="1"/>
  <c r="B53" i="18"/>
  <c r="B63" i="18" s="1"/>
  <c r="B54" i="18"/>
  <c r="B64" i="18" s="1"/>
  <c r="B55" i="18"/>
  <c r="B65" i="18" s="1"/>
  <c r="B56" i="18"/>
  <c r="B66" i="18" s="1"/>
  <c r="B52" i="18"/>
  <c r="B62" i="18" s="1"/>
  <c r="L59" i="18"/>
  <c r="K59" i="18"/>
  <c r="J59" i="18"/>
  <c r="H59" i="18"/>
  <c r="G59" i="18"/>
  <c r="F59" i="18"/>
  <c r="E59" i="18"/>
  <c r="L49" i="18"/>
  <c r="K49" i="18"/>
  <c r="J49" i="18"/>
  <c r="E49" i="18"/>
  <c r="F49" i="18"/>
  <c r="H49" i="18"/>
  <c r="G49" i="18"/>
  <c r="E38" i="18"/>
  <c r="F38" i="18" s="1"/>
  <c r="G38" i="18" s="1"/>
  <c r="H38" i="18" s="1"/>
  <c r="J38" i="18" s="1"/>
  <c r="K38" i="18" s="1"/>
  <c r="L38" i="18" s="1"/>
  <c r="F16" i="22" l="1"/>
  <c r="F17" i="22"/>
  <c r="F20" i="22"/>
  <c r="G20" i="22"/>
  <c r="M19" i="5"/>
  <c r="F63" i="18"/>
  <c r="G63" i="18" s="1"/>
  <c r="H63" i="18" s="1"/>
  <c r="J63" i="18" s="1"/>
  <c r="K63" i="18" s="1"/>
  <c r="L63" i="18" s="1"/>
  <c r="L69" i="18" s="1"/>
  <c r="L71" i="18" s="1"/>
  <c r="L72" i="18" s="1"/>
  <c r="N20" i="5"/>
  <c r="N24" i="5" s="1"/>
  <c r="N19" i="5"/>
  <c r="E69" i="18"/>
  <c r="E71" i="18" s="1"/>
  <c r="E72" i="18" s="1"/>
  <c r="F69" i="18" l="1"/>
  <c r="F71" i="18" s="1"/>
  <c r="F72" i="18" s="1"/>
  <c r="G69" i="18"/>
  <c r="G71" i="18" s="1"/>
  <c r="G72" i="18" s="1"/>
  <c r="H69" i="18"/>
  <c r="H71" i="18" s="1"/>
  <c r="H72" i="18" s="1"/>
  <c r="J69" i="18"/>
  <c r="J71" i="18" s="1"/>
  <c r="J72" i="18" s="1"/>
  <c r="K69" i="18"/>
  <c r="K71" i="18" s="1"/>
  <c r="K72" i="18" s="1"/>
  <c r="C13" i="27"/>
  <c r="C12" i="27"/>
  <c r="C40" i="20"/>
  <c r="M40" i="20"/>
  <c r="N40" i="20"/>
  <c r="O40" i="20"/>
  <c r="E40" i="20"/>
  <c r="K34" i="20"/>
  <c r="K35" i="20"/>
  <c r="K36" i="20"/>
  <c r="K37" i="20"/>
  <c r="K38" i="20"/>
  <c r="K39" i="20"/>
  <c r="D40" i="20"/>
  <c r="F40" i="20"/>
  <c r="G40" i="20"/>
  <c r="H40" i="20"/>
  <c r="I40" i="20"/>
  <c r="J40" i="20"/>
  <c r="I7" i="27" l="1"/>
  <c r="J7" i="27" s="1"/>
  <c r="M54" i="3"/>
  <c r="L54" i="3"/>
  <c r="K54" i="3"/>
  <c r="M45" i="3"/>
  <c r="L45" i="3"/>
  <c r="K45" i="3"/>
  <c r="M38" i="3"/>
  <c r="L38" i="3"/>
  <c r="K38" i="3"/>
  <c r="M31" i="3"/>
  <c r="L31" i="3"/>
  <c r="K31" i="3"/>
  <c r="M21" i="3"/>
  <c r="M23" i="3" s="1"/>
  <c r="J24" i="27" s="1"/>
  <c r="L21" i="3"/>
  <c r="L23" i="3" s="1"/>
  <c r="K21" i="3"/>
  <c r="K23" i="3" s="1"/>
  <c r="M12" i="3"/>
  <c r="M15" i="3" s="1"/>
  <c r="L12" i="3"/>
  <c r="L15" i="3" s="1"/>
  <c r="K12" i="3"/>
  <c r="K15" i="3" s="1"/>
  <c r="I53" i="3"/>
  <c r="I52" i="3"/>
  <c r="I51" i="3"/>
  <c r="I50" i="3"/>
  <c r="I37" i="3"/>
  <c r="I36" i="3"/>
  <c r="I35" i="3"/>
  <c r="I34" i="3"/>
  <c r="I33" i="3"/>
  <c r="I22" i="3"/>
  <c r="I18" i="3"/>
  <c r="I8" i="3"/>
  <c r="H38" i="27" s="1"/>
  <c r="O54" i="20"/>
  <c r="N54" i="20"/>
  <c r="M54" i="20"/>
  <c r="O48" i="20"/>
  <c r="N48" i="20"/>
  <c r="M48" i="20"/>
  <c r="O19" i="20"/>
  <c r="N19" i="20"/>
  <c r="M19" i="20"/>
  <c r="I51" i="5"/>
  <c r="N34" i="5"/>
  <c r="N36" i="5" s="1"/>
  <c r="M34" i="5"/>
  <c r="M36" i="5" s="1"/>
  <c r="L34" i="5"/>
  <c r="L36" i="5" s="1"/>
  <c r="H34" i="5"/>
  <c r="I34" i="5"/>
  <c r="I36" i="5" s="1"/>
  <c r="J40" i="5"/>
  <c r="J29" i="5"/>
  <c r="J28" i="5"/>
  <c r="J17" i="5"/>
  <c r="M12" i="5"/>
  <c r="N8" i="5" s="1"/>
  <c r="N12" i="5" s="1"/>
  <c r="L12" i="5"/>
  <c r="N13" i="20"/>
  <c r="N14" i="20" s="1"/>
  <c r="O13" i="20"/>
  <c r="O14" i="20" s="1"/>
  <c r="M13" i="20"/>
  <c r="K24" i="3" l="1"/>
  <c r="I19" i="27"/>
  <c r="I24" i="27"/>
  <c r="F18" i="27"/>
  <c r="H18" i="27"/>
  <c r="F20" i="27"/>
  <c r="H20" i="27"/>
  <c r="I60" i="3"/>
  <c r="H30" i="27"/>
  <c r="F30" i="27"/>
  <c r="J19" i="27"/>
  <c r="L39" i="3"/>
  <c r="L47" i="3" s="1"/>
  <c r="M21" i="20"/>
  <c r="M24" i="20" s="1"/>
  <c r="M41" i="20" s="1"/>
  <c r="H11" i="27" s="1"/>
  <c r="L24" i="3"/>
  <c r="K39" i="3"/>
  <c r="K47" i="3" s="1"/>
  <c r="M24" i="3"/>
  <c r="I54" i="3"/>
  <c r="M39" i="3"/>
  <c r="M47" i="3" s="1"/>
  <c r="O55" i="20"/>
  <c r="N55" i="20"/>
  <c r="N21" i="20"/>
  <c r="N24" i="20" s="1"/>
  <c r="N41" i="20" s="1"/>
  <c r="O21" i="20"/>
  <c r="O24" i="20" s="1"/>
  <c r="O41" i="20" s="1"/>
  <c r="M55" i="20"/>
  <c r="M14" i="20"/>
  <c r="K48" i="3" l="1"/>
  <c r="F29" i="27"/>
  <c r="H29" i="27"/>
  <c r="L48" i="3"/>
  <c r="M48" i="3"/>
  <c r="O57" i="20"/>
  <c r="O59" i="20" s="1"/>
  <c r="J11" i="27"/>
  <c r="J21" i="27" s="1"/>
  <c r="J26" i="27" s="1"/>
  <c r="J33" i="27" s="1"/>
  <c r="J37" i="27" s="1"/>
  <c r="J40" i="27" s="1"/>
  <c r="N57" i="20"/>
  <c r="N59" i="20" s="1"/>
  <c r="I11" i="27"/>
  <c r="I21" i="27" s="1"/>
  <c r="I26" i="27" s="1"/>
  <c r="I33" i="27" s="1"/>
  <c r="I37" i="27" s="1"/>
  <c r="I40" i="27" s="1"/>
  <c r="M57" i="20"/>
  <c r="M59" i="20" s="1"/>
  <c r="M60" i="20" s="1"/>
  <c r="N60" i="20" s="1"/>
  <c r="O60" i="20" s="1"/>
  <c r="L4" i="3"/>
  <c r="N5" i="20"/>
  <c r="O5" i="20" s="1"/>
  <c r="M4" i="5"/>
  <c r="N4" i="5" s="1"/>
  <c r="M4" i="3" l="1"/>
  <c r="M38" i="19" s="1"/>
  <c r="L38" i="19"/>
  <c r="M15" i="2" l="1"/>
  <c r="M16" i="2"/>
  <c r="M17" i="2" l="1"/>
  <c r="K26" i="20"/>
  <c r="C4" i="5"/>
  <c r="D4" i="5"/>
  <c r="D7" i="27" s="1"/>
  <c r="E4" i="5"/>
  <c r="J4" i="5" l="1"/>
  <c r="E7" i="27"/>
  <c r="F7" i="27" s="1"/>
  <c r="C18" i="5"/>
  <c r="D14" i="5" s="1"/>
  <c r="C5" i="18"/>
  <c r="C48" i="20"/>
  <c r="D48" i="20"/>
  <c r="C13" i="20"/>
  <c r="D13" i="20"/>
  <c r="C19" i="20"/>
  <c r="G4" i="5"/>
  <c r="H4" i="5"/>
  <c r="I4" i="5"/>
  <c r="F4" i="5"/>
  <c r="G5" i="20" s="1"/>
  <c r="E5" i="20"/>
  <c r="K5" i="20" s="1"/>
  <c r="D5" i="20"/>
  <c r="C12" i="5"/>
  <c r="D14" i="20" l="1"/>
  <c r="D8" i="22"/>
  <c r="D11" i="22"/>
  <c r="D9" i="22"/>
  <c r="D12" i="22"/>
  <c r="D10" i="22"/>
  <c r="C14" i="20"/>
  <c r="C11" i="22"/>
  <c r="C10" i="22"/>
  <c r="C8" i="22"/>
  <c r="C9" i="22"/>
  <c r="C7" i="22"/>
  <c r="C12" i="22"/>
  <c r="L15" i="2"/>
  <c r="C54" i="5"/>
  <c r="D13" i="5"/>
  <c r="D8" i="5"/>
  <c r="G4" i="3"/>
  <c r="H38" i="19" s="1"/>
  <c r="I5" i="20"/>
  <c r="F4" i="3"/>
  <c r="G38" i="19" s="1"/>
  <c r="H5" i="20"/>
  <c r="H4" i="3"/>
  <c r="I38" i="19" s="1"/>
  <c r="J5" i="20"/>
  <c r="D24" i="20"/>
  <c r="D41" i="20" s="1"/>
  <c r="D11" i="27" s="1"/>
  <c r="D55" i="20"/>
  <c r="C55" i="20"/>
  <c r="C21" i="20"/>
  <c r="D4" i="3"/>
  <c r="C4" i="3"/>
  <c r="D38" i="19" s="1"/>
  <c r="E4" i="3"/>
  <c r="F38" i="19" s="1"/>
  <c r="I4" i="3" l="1"/>
  <c r="J38" i="19" s="1"/>
  <c r="E38" i="19"/>
  <c r="C24" i="20"/>
  <c r="C41" i="20" s="1"/>
  <c r="D57" i="20"/>
  <c r="D59" i="20" s="1"/>
  <c r="D60" i="20" s="1"/>
  <c r="K58" i="20"/>
  <c r="K53" i="20"/>
  <c r="K52" i="20"/>
  <c r="K51" i="20"/>
  <c r="J48" i="20"/>
  <c r="I48" i="20"/>
  <c r="H48" i="20"/>
  <c r="G48" i="20"/>
  <c r="F48" i="20"/>
  <c r="E48" i="20"/>
  <c r="K47" i="20"/>
  <c r="K46" i="20"/>
  <c r="K45" i="20"/>
  <c r="K44" i="20"/>
  <c r="K33" i="20"/>
  <c r="K32" i="20"/>
  <c r="K31" i="20"/>
  <c r="K30" i="20"/>
  <c r="K27" i="20"/>
  <c r="J19" i="20"/>
  <c r="I19" i="20"/>
  <c r="H19" i="20"/>
  <c r="G19" i="20"/>
  <c r="F19" i="20"/>
  <c r="E19" i="20"/>
  <c r="J13" i="20"/>
  <c r="I13" i="20"/>
  <c r="H13" i="20"/>
  <c r="G13" i="20"/>
  <c r="F13" i="20"/>
  <c r="F14" i="20" s="1"/>
  <c r="E13" i="20"/>
  <c r="I65" i="5"/>
  <c r="H65" i="5"/>
  <c r="G65" i="5"/>
  <c r="F65" i="5"/>
  <c r="E65" i="5"/>
  <c r="D65" i="5"/>
  <c r="I53" i="5"/>
  <c r="H53" i="5"/>
  <c r="G53" i="5"/>
  <c r="F53" i="5"/>
  <c r="E53" i="5"/>
  <c r="D53" i="5"/>
  <c r="I52" i="5"/>
  <c r="H52" i="5"/>
  <c r="G52" i="5"/>
  <c r="F52" i="5"/>
  <c r="E52" i="5"/>
  <c r="D52" i="5"/>
  <c r="H51" i="5"/>
  <c r="G51" i="5"/>
  <c r="F51" i="5"/>
  <c r="E51" i="5"/>
  <c r="D51" i="5"/>
  <c r="J35" i="5"/>
  <c r="H36" i="5"/>
  <c r="G34" i="5"/>
  <c r="G36" i="5" s="1"/>
  <c r="F34" i="5"/>
  <c r="E34" i="5"/>
  <c r="E36" i="5" s="1"/>
  <c r="D34" i="5"/>
  <c r="D36" i="5" s="1"/>
  <c r="J32" i="5"/>
  <c r="J31" i="5"/>
  <c r="D18" i="5"/>
  <c r="E14" i="5" s="1"/>
  <c r="E18" i="5" s="1"/>
  <c r="F14" i="5" s="1"/>
  <c r="J16" i="5"/>
  <c r="J15" i="5"/>
  <c r="J19" i="22" s="1"/>
  <c r="D12" i="5"/>
  <c r="J11" i="5"/>
  <c r="J10" i="5"/>
  <c r="J9" i="5"/>
  <c r="I12" i="22" l="1"/>
  <c r="I8" i="22"/>
  <c r="I11" i="22"/>
  <c r="I10" i="22"/>
  <c r="I9" i="22"/>
  <c r="G11" i="22"/>
  <c r="G9" i="22"/>
  <c r="G10" i="22"/>
  <c r="G12" i="22"/>
  <c r="G8" i="22"/>
  <c r="F10" i="22"/>
  <c r="F9" i="22"/>
  <c r="F12" i="22"/>
  <c r="F8" i="22"/>
  <c r="F11" i="22"/>
  <c r="H8" i="22"/>
  <c r="H12" i="22"/>
  <c r="H11" i="22"/>
  <c r="H9" i="22"/>
  <c r="H10" i="22"/>
  <c r="E14" i="20"/>
  <c r="E8" i="22"/>
  <c r="E9" i="22"/>
  <c r="E10" i="22"/>
  <c r="E11" i="22"/>
  <c r="E12" i="22"/>
  <c r="C57" i="20"/>
  <c r="C59" i="20" s="1"/>
  <c r="C60" i="20" s="1"/>
  <c r="C11" i="27"/>
  <c r="K40" i="20"/>
  <c r="E13" i="5"/>
  <c r="F13" i="5"/>
  <c r="J13" i="5"/>
  <c r="F36" i="5"/>
  <c r="J34" i="5"/>
  <c r="J36" i="5" s="1"/>
  <c r="E8" i="5"/>
  <c r="E12" i="5" s="1"/>
  <c r="G55" i="20"/>
  <c r="J21" i="20"/>
  <c r="J24" i="20" s="1"/>
  <c r="J41" i="20" s="1"/>
  <c r="J55" i="20"/>
  <c r="I55" i="20"/>
  <c r="I21" i="20"/>
  <c r="I24" i="20" s="1"/>
  <c r="I41" i="20" s="1"/>
  <c r="K19" i="20"/>
  <c r="K48" i="20"/>
  <c r="H55" i="20"/>
  <c r="K13" i="20"/>
  <c r="H14" i="20"/>
  <c r="J49" i="5"/>
  <c r="J63" i="5"/>
  <c r="J42" i="5"/>
  <c r="J61" i="5"/>
  <c r="K54" i="20"/>
  <c r="E55" i="20"/>
  <c r="F55" i="20"/>
  <c r="H21" i="20"/>
  <c r="H24" i="20" s="1"/>
  <c r="H41" i="20" s="1"/>
  <c r="E21" i="20"/>
  <c r="E24" i="20" s="1"/>
  <c r="E41" i="20" s="1"/>
  <c r="E11" i="27" s="1"/>
  <c r="F21" i="20"/>
  <c r="F24" i="20" s="1"/>
  <c r="F41" i="20" s="1"/>
  <c r="G14" i="20"/>
  <c r="I14" i="20"/>
  <c r="J14" i="20"/>
  <c r="G21" i="20"/>
  <c r="G24" i="20" s="1"/>
  <c r="G41" i="20" s="1"/>
  <c r="D54" i="5"/>
  <c r="J14" i="5"/>
  <c r="J18" i="5" s="1"/>
  <c r="F18" i="5"/>
  <c r="G14" i="5" s="1"/>
  <c r="E54" i="5"/>
  <c r="J44" i="5"/>
  <c r="J56" i="5"/>
  <c r="J51" i="5"/>
  <c r="J53" i="5"/>
  <c r="J45" i="5"/>
  <c r="J57" i="5"/>
  <c r="J64" i="5"/>
  <c r="J62" i="5"/>
  <c r="J43" i="5"/>
  <c r="J52" i="5"/>
  <c r="J46" i="5"/>
  <c r="J58" i="5"/>
  <c r="J47" i="5"/>
  <c r="J59" i="5"/>
  <c r="J50" i="5"/>
  <c r="J48" i="5"/>
  <c r="J60" i="5"/>
  <c r="K14" i="20" l="1"/>
  <c r="J10" i="22"/>
  <c r="J9" i="22"/>
  <c r="J12" i="22"/>
  <c r="J8" i="22"/>
  <c r="J11" i="22"/>
  <c r="C21" i="27"/>
  <c r="C26" i="27" s="1"/>
  <c r="C33" i="27" s="1"/>
  <c r="C37" i="27" s="1"/>
  <c r="F54" i="5"/>
  <c r="G13" i="5"/>
  <c r="L14" i="5"/>
  <c r="L18" i="5" s="1"/>
  <c r="L13" i="5"/>
  <c r="F8" i="5"/>
  <c r="F12" i="5" s="1"/>
  <c r="G8" i="5" s="1"/>
  <c r="G12" i="5" s="1"/>
  <c r="H8" i="5" s="1"/>
  <c r="J8" i="5"/>
  <c r="J12" i="5" s="1"/>
  <c r="G57" i="20"/>
  <c r="G59" i="20" s="1"/>
  <c r="G60" i="20" s="1"/>
  <c r="J57" i="20"/>
  <c r="J59" i="20" s="1"/>
  <c r="K55" i="20"/>
  <c r="H57" i="20"/>
  <c r="H59" i="20" s="1"/>
  <c r="K24" i="20"/>
  <c r="K41" i="20" s="1"/>
  <c r="F11" i="27" s="1"/>
  <c r="I57" i="20"/>
  <c r="I59" i="20" s="1"/>
  <c r="E57" i="20"/>
  <c r="E59" i="20" s="1"/>
  <c r="E60" i="20" s="1"/>
  <c r="F57" i="20"/>
  <c r="F59" i="20" s="1"/>
  <c r="F60" i="20" s="1"/>
  <c r="J54" i="5"/>
  <c r="G18" i="5"/>
  <c r="H14" i="5" s="1"/>
  <c r="J65" i="5"/>
  <c r="H13" i="5" l="1"/>
  <c r="G54" i="5"/>
  <c r="M13" i="5"/>
  <c r="M14" i="5"/>
  <c r="M18" i="5" s="1"/>
  <c r="H60" i="20"/>
  <c r="I60" i="20" s="1"/>
  <c r="J60" i="20" s="1"/>
  <c r="K57" i="20"/>
  <c r="K59" i="20" s="1"/>
  <c r="K60" i="20" s="1"/>
  <c r="H12" i="5"/>
  <c r="I8" i="5" s="1"/>
  <c r="H18" i="5"/>
  <c r="I13" i="5" l="1"/>
  <c r="I14" i="5"/>
  <c r="I18" i="5" s="1"/>
  <c r="N13" i="5"/>
  <c r="N14" i="5"/>
  <c r="N18" i="5" s="1"/>
  <c r="H54" i="5"/>
  <c r="I12" i="5"/>
  <c r="I54" i="5" l="1"/>
  <c r="D10" i="3" l="1"/>
  <c r="E10" i="3"/>
  <c r="F10" i="3"/>
  <c r="G10" i="3"/>
  <c r="H10" i="3"/>
  <c r="B12" i="3"/>
  <c r="B15" i="3" s="1"/>
  <c r="C12" i="3"/>
  <c r="C15" i="3" s="1"/>
  <c r="D12" i="3"/>
  <c r="D15" i="3" s="1"/>
  <c r="E12" i="3"/>
  <c r="F12" i="3"/>
  <c r="F15" i="3" s="1"/>
  <c r="G12" i="3"/>
  <c r="G15" i="3" s="1"/>
  <c r="H12" i="3"/>
  <c r="H15" i="3" s="1"/>
  <c r="B23" i="3"/>
  <c r="C23" i="3"/>
  <c r="D23" i="3"/>
  <c r="F23" i="3"/>
  <c r="G23" i="3"/>
  <c r="H23" i="3"/>
  <c r="B31" i="3"/>
  <c r="C31" i="3"/>
  <c r="D31" i="3"/>
  <c r="E31" i="3"/>
  <c r="F31" i="3"/>
  <c r="G31" i="3"/>
  <c r="H31" i="3"/>
  <c r="B38" i="3"/>
  <c r="C38" i="3"/>
  <c r="D38" i="3"/>
  <c r="E38" i="3"/>
  <c r="F38" i="3"/>
  <c r="G38" i="3"/>
  <c r="H38" i="3"/>
  <c r="C45" i="3"/>
  <c r="D45" i="3"/>
  <c r="E45" i="3"/>
  <c r="F45" i="3"/>
  <c r="G45" i="3"/>
  <c r="H45" i="3"/>
  <c r="B54" i="3"/>
  <c r="C54" i="3"/>
  <c r="D54" i="3"/>
  <c r="E54" i="3"/>
  <c r="F54" i="3"/>
  <c r="G54" i="3"/>
  <c r="H54" i="3"/>
  <c r="D24" i="27" l="1"/>
  <c r="E19" i="27"/>
  <c r="E21" i="27" s="1"/>
  <c r="D19" i="27"/>
  <c r="D21" i="27" s="1"/>
  <c r="E24" i="27"/>
  <c r="I10" i="3"/>
  <c r="E15" i="3"/>
  <c r="I12" i="3"/>
  <c r="E23" i="3"/>
  <c r="D39" i="3"/>
  <c r="D47" i="3" s="1"/>
  <c r="C39" i="3"/>
  <c r="F39" i="3"/>
  <c r="F47" i="3" s="1"/>
  <c r="H39" i="3"/>
  <c r="H47" i="3" s="1"/>
  <c r="C24" i="3"/>
  <c r="G39" i="3"/>
  <c r="G47" i="3" s="1"/>
  <c r="E39" i="3"/>
  <c r="E47" i="3" s="1"/>
  <c r="H24" i="3"/>
  <c r="G24" i="3"/>
  <c r="D24" i="3"/>
  <c r="B24" i="3"/>
  <c r="F24" i="3"/>
  <c r="B39" i="3"/>
  <c r="I38" i="3"/>
  <c r="I31" i="3"/>
  <c r="D26" i="27" l="1"/>
  <c r="I61" i="22"/>
  <c r="I15" i="22" s="1"/>
  <c r="J15" i="22" s="1"/>
  <c r="D61" i="22"/>
  <c r="D15" i="22" s="1"/>
  <c r="H61" i="22"/>
  <c r="H15" i="22" s="1"/>
  <c r="E26" i="27"/>
  <c r="E33" i="27" s="1"/>
  <c r="E37" i="27" s="1"/>
  <c r="E40" i="27" s="1"/>
  <c r="E61" i="22"/>
  <c r="E15" i="22" s="1"/>
  <c r="I15" i="3"/>
  <c r="E24" i="3"/>
  <c r="I23" i="3"/>
  <c r="C55" i="3"/>
  <c r="C48" i="3"/>
  <c r="G48" i="3"/>
  <c r="G55" i="3"/>
  <c r="H48" i="3"/>
  <c r="H55" i="3"/>
  <c r="I39" i="3"/>
  <c r="D55" i="3"/>
  <c r="D48" i="3"/>
  <c r="F55" i="3"/>
  <c r="F48" i="3"/>
  <c r="D9" i="29" l="1"/>
  <c r="F9" i="29" s="1"/>
  <c r="H19" i="27"/>
  <c r="H21" i="27" s="1"/>
  <c r="F19" i="27"/>
  <c r="F21" i="27" s="1"/>
  <c r="E55" i="3"/>
  <c r="G61" i="22"/>
  <c r="G15" i="22" s="1"/>
  <c r="E48" i="3"/>
  <c r="H24" i="27"/>
  <c r="F24" i="27"/>
  <c r="F61" i="22"/>
  <c r="F15" i="22" s="1"/>
  <c r="I24" i="3"/>
  <c r="J61" i="22" s="1"/>
  <c r="I47" i="3"/>
  <c r="F26" i="27" l="1"/>
  <c r="F33" i="27" s="1"/>
  <c r="F37" i="27" s="1"/>
  <c r="F40" i="27" s="1"/>
  <c r="H26" i="27"/>
  <c r="H33" i="27" s="1"/>
  <c r="H37" i="27" s="1"/>
  <c r="H40" i="27" s="1"/>
  <c r="I55" i="3"/>
  <c r="I48" i="3"/>
  <c r="D30" i="27"/>
  <c r="D33" i="27" s="1"/>
  <c r="D37" i="27" s="1"/>
  <c r="D40" i="27" s="1"/>
  <c r="B41" i="3"/>
  <c r="B45" i="3" s="1"/>
  <c r="B47" i="3" s="1"/>
  <c r="B48" i="3" l="1"/>
  <c r="B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tc={16E8A988-3158-49E6-BDB8-217B31D336F0}</author>
    <author>tc={C3261C8D-70CD-4A1C-8B73-1838DB1E74D7}</author>
    <author>tc={F96D5687-1A8E-41BC-96C7-7FC8BA2EEC38}</author>
  </authors>
  <commentList>
    <comment ref="B12" authorId="0" shapeId="0" xr:uid="{00000000-0006-0000-01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What is this for?</t>
        </r>
      </text>
    </comment>
    <comment ref="B13" authorId="1" shapeId="0" xr:uid="{00000000-0006-0000-01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What is this for?</t>
        </r>
      </text>
    </comment>
    <comment ref="B15" authorId="2" shapeId="0" xr:uid="{00000000-0006-0000-01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What is this for?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tc={1E5601CA-1AE8-456B-A0AB-DB96ADBBB594}</author>
  </authors>
  <commentList>
    <comment ref="A20" authorId="0" shapeId="0" xr:uid="{00000000-0006-0000-0F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Info is missing?</t>
        </r>
      </text>
    </comment>
  </commentList>
</comments>
</file>

<file path=xl/sharedStrings.xml><?xml version="1.0" encoding="utf-8"?>
<sst xmlns="http://schemas.openxmlformats.org/spreadsheetml/2006/main" count="904" uniqueCount="741">
  <si>
    <t xml:space="preserve">External risks </t>
  </si>
  <si>
    <t>Information system risks</t>
  </si>
  <si>
    <t xml:space="preserve">Does your organization keep a record of errors that allows it to identify and correct common errors? </t>
  </si>
  <si>
    <t xml:space="preserve">Do you continuously track your operating efficiency by analyzing key performance indicators? </t>
  </si>
  <si>
    <t xml:space="preserve">Do you use the cost calculation system for each activity? </t>
  </si>
  <si>
    <t xml:space="preserve">Have you planned (and timed) key operations in your organization? </t>
  </si>
  <si>
    <t>Inefficiency risks</t>
  </si>
  <si>
    <t xml:space="preserve">Do you follow liquidity risk by continuing to track base rates? Speed, liquidity, untapped money? </t>
  </si>
  <si>
    <t xml:space="preserve">Is there an expectation of cash needs? </t>
  </si>
  <si>
    <t xml:space="preserve">For organizations operating in an inflation environment, do they regularly calculate the real interest rate? </t>
  </si>
  <si>
    <t xml:space="preserve">For microfinance institutions that hold foreign currency assets and liabilities, are appropriate control techniques in place to reduce foreign exchange risk? </t>
  </si>
  <si>
    <t xml:space="preserve">Are the real results compared to the budget and are cost overruns determined? </t>
  </si>
  <si>
    <t xml:space="preserve">Is the estimated budget regularly used and updated? </t>
  </si>
  <si>
    <t xml:space="preserve">Does your organization set an annual estimate budget? </t>
  </si>
  <si>
    <t xml:space="preserve">Are there written financial management policies? </t>
  </si>
  <si>
    <t xml:space="preserve">Financial management risks </t>
  </si>
  <si>
    <t>Is there a performance  development policy for employees?</t>
  </si>
  <si>
    <t>Are  holiday payments or terminations appropriately  registered?</t>
  </si>
  <si>
    <t xml:space="preserve">Does the policy clearly set the minimum for what each file can contain? </t>
  </si>
  <si>
    <t xml:space="preserve">Are full and confidential employee files kept for each employee? </t>
  </si>
  <si>
    <t xml:space="preserve">Is there a policy of devolving powers to  all staff? </t>
  </si>
  <si>
    <t xml:space="preserve">Are performance goals followed up and achievement rewarded? </t>
  </si>
  <si>
    <t xml:space="preserve">Do each staff have objective performance objectives? </t>
  </si>
  <si>
    <t xml:space="preserve">Do customers/customers and employees follow a formal approach to expectations, policies and procedures? </t>
  </si>
  <si>
    <t>Is there a system for preparing new employees and introducing them to regulations, procedures and expectations?</t>
  </si>
  <si>
    <t>Is there a personnel code of conduct?</t>
  </si>
  <si>
    <t>Is the letter statement  and a statement of core values  clearly placed in offices?</t>
  </si>
  <si>
    <t xml:space="preserve">Are the procedures for terminating employee services constantly followed? </t>
  </si>
  <si>
    <t xml:space="preserve">Has a salary check been done in similar institutions recently? </t>
  </si>
  <si>
    <t xml:space="preserve">Are specific procedures used  to attract honest, honest individuals with core values? </t>
  </si>
  <si>
    <t xml:space="preserve">Is the promotion of existing staff considered before vacancies are announced? </t>
  </si>
  <si>
    <t xml:space="preserve">Is the recruitment process clearly defined? </t>
  </si>
  <si>
    <t xml:space="preserve">Is a booklet on human resources policy distributed to all staff? </t>
  </si>
  <si>
    <t xml:space="preserve">Employee risk </t>
  </si>
  <si>
    <t xml:space="preserve">Is there enough security on financial information and access to the system? </t>
  </si>
  <si>
    <t>Are  assets fully  inventoried?</t>
  </si>
  <si>
    <t xml:space="preserve">Are cashiers and other staff regularly trained in theft and special procedures after the robbery? </t>
  </si>
  <si>
    <t xml:space="preserve">Is the total cash held at each of the established levels maintained and does these levels make sense? </t>
  </si>
  <si>
    <t xml:space="preserve">Are precautionary measures taken to prevent the theft of all forms, cheques, unedited bills etc.? </t>
  </si>
  <si>
    <t>Is there a standard operating procedure to ensure the security of cash  trading?</t>
  </si>
  <si>
    <t xml:space="preserve">Is the opening of the vault/safe under  double control?  </t>
  </si>
  <si>
    <t xml:space="preserve">Is the alarm system tested periodically? </t>
  </si>
  <si>
    <t xml:space="preserve">Can intrusion prevent the operation of these devices?  </t>
  </si>
  <si>
    <t xml:space="preserve">Is the treasury protected  by an appropriate burglary or burglary warning system? </t>
  </si>
  <si>
    <t xml:space="preserve">Is the entire cash placed in a vault or safe and closed during work breaks? </t>
  </si>
  <si>
    <t xml:space="preserve">Are there alarms activated in cashier's room centers? </t>
  </si>
  <si>
    <t>Are regular meetings held with local law enforcement representatives? (Police)</t>
  </si>
  <si>
    <t xml:space="preserve">Do the police examine the bank or microfinance institution during non-working hours? </t>
  </si>
  <si>
    <t xml:space="preserve">Is there a documented procedure to open and close the building and basement that would prevent any attack? </t>
  </si>
  <si>
    <t xml:space="preserve">Have all entrances to the cashiers' work area been closed while customers/customers are in the office? </t>
  </si>
  <si>
    <t xml:space="preserve">Is there a regular procedure to be followed to secure the side and rear doors while the organization is working?  </t>
  </si>
  <si>
    <t xml:space="preserve">Have all unusual entrances (air conditioner entrances and traffic vents tosewers and skylights) been protected by an alarm, steel bars, etc.? </t>
  </si>
  <si>
    <t xml:space="preserve">Have the door and window joints been securely connected so that they are not broken or forcibly removed? </t>
  </si>
  <si>
    <t xml:space="preserve">Are the locks placed on the outer doors and windows resistant to manipulation? </t>
  </si>
  <si>
    <t xml:space="preserve">Have doors and windows been fitted with a steel rod or any other materials resistant to attempted theft? </t>
  </si>
  <si>
    <t xml:space="preserve">Are you dealing with those needs? </t>
  </si>
  <si>
    <t xml:space="preserve">Was there an analysis of the security needs of each location you worked on? </t>
  </si>
  <si>
    <t>Security risk</t>
  </si>
  <si>
    <t xml:space="preserve">Is there an emergency plan in place to quickly mitigate damages when fraud occurs? </t>
  </si>
  <si>
    <t xml:space="preserve">Do your organization's policies and procedures prevent conflicts of interest or self-dealing in the selection of vendors, service providers or insurance companies? </t>
  </si>
  <si>
    <t xml:space="preserve">Are units ordered and purchased using numbered orders sequentially? </t>
  </si>
  <si>
    <t xml:space="preserve">Are there written policies  on the use and sale of fixed assets? </t>
  </si>
  <si>
    <t xml:space="preserve">Are there policies for purchasing written and complete goods and services? </t>
  </si>
  <si>
    <t xml:space="preserve">Does a withdrawal of more than a specified amount require certification from a supervisor? </t>
  </si>
  <si>
    <t xml:space="preserve">Are negative savings balances reported as exceptions? </t>
  </si>
  <si>
    <t xml:space="preserve">Are each exceptions recorded  and reported in special exception reports? </t>
  </si>
  <si>
    <t xml:space="preserve">Are there appropriate procedures in place to monitor the value and status of all guarantees? </t>
  </si>
  <si>
    <t xml:space="preserve">Is  the bank account adjustment prepared monthly and reviewed by a supervisor? </t>
  </si>
  <si>
    <t xml:space="preserve">Do cashiers participate in an organized training program that provides guidelines for all types of transactions? </t>
  </si>
  <si>
    <t xml:space="preserve">Is there a policy to inspect cashiers who hold  a surplus cash fund  to fill the deficit? </t>
  </si>
  <si>
    <t xml:space="preserve">Has the administration reviewed the record of different cash (deficit/surplus)? </t>
  </si>
  <si>
    <t>Are the differences (deficit/surplus) between each cashier  recorded and compiled?</t>
  </si>
  <si>
    <t xml:space="preserve"> Is  each cashier's cash counted daily depending on the balance shown by the  COMPUTER system?  </t>
  </si>
  <si>
    <t xml:space="preserve">Are transfer receipts between cashiers certified by each of the cashiers? </t>
  </si>
  <si>
    <t xml:space="preserve">Are safes/cash boxes secured after working hours? </t>
  </si>
  <si>
    <t xml:space="preserve">Are these policies followed? </t>
  </si>
  <si>
    <t xml:space="preserve">Does your company have clear execution and rescheduling policies that fit the  fraud prevention strategy? </t>
  </si>
  <si>
    <t>Are accounting records of loans prepared and deposited by a person who is not responsible for cash or someone who does not have the authority to write official cheques or bills?</t>
  </si>
  <si>
    <t xml:space="preserve">Are repayment notices,  loan agreements paid and associated documents immediately returned to borrowers or made clear that they are paid when required? </t>
  </si>
  <si>
    <t xml:space="preserve">Do customers/customers receive official receipts for loan repayments and dated savings deposits and are the person issuing or receiving the payment determined? </t>
  </si>
  <si>
    <t xml:space="preserve">Does your organization regularly review  customers/customers to check for savings and loan balances? </t>
  </si>
  <si>
    <t xml:space="preserve">Do managers avoid signing blankly or without understanding the content of the document and fight it effectively? </t>
  </si>
  <si>
    <t xml:space="preserve">Does the Loan Credit Department regulate  balance efficiency, customer/customer service and fraud control? </t>
  </si>
  <si>
    <t xml:space="preserve">Does lending policy set lending limits for all levels of officials and lending committees? </t>
  </si>
  <si>
    <t xml:space="preserve">Do at least two people meet with all loan applicants and approve all applications? </t>
  </si>
  <si>
    <t xml:space="preserve">Are customers/customers aware of their rights? </t>
  </si>
  <si>
    <t xml:space="preserve">Are customers/customers familiar with communication channels to express their complaint? </t>
  </si>
  <si>
    <t xml:space="preserve">Do you have a system for collecting, analyzing and monitoring customer/customer complaints? </t>
  </si>
  <si>
    <t xml:space="preserve">Is there a specific process for management or board response to internal review reports? </t>
  </si>
  <si>
    <t xml:space="preserve">Does theinternal review range include head office functions? </t>
  </si>
  <si>
    <t xml:space="preserve">Are internal reviews conducted on a regular basis? </t>
  </si>
  <si>
    <t xml:space="preserve">Does your organization have an independent internal audit function? </t>
  </si>
  <si>
    <t xml:space="preserve">Are employee salaries and incentives at reasonable and competitive levels? </t>
  </si>
  <si>
    <t xml:space="preserve">Fraud risks </t>
  </si>
  <si>
    <t xml:space="preserve">Is there a regular procedure for reporting special case loans (e.g. single payment, late loans, rescheduling loans) </t>
  </si>
  <si>
    <t xml:space="preserve">Is it clear whether accurate and timely reports on the portfolio are expected?  </t>
  </si>
  <si>
    <t xml:space="preserve">Does the operations manager or anothertop manager  constantly follow the quality of the portfolio?  </t>
  </si>
  <si>
    <t>Do you find  your organization's  doubtful debt allocation policies appropriate?</t>
  </si>
  <si>
    <t xml:space="preserve">Are all executions reviewed and approved by the Board of Directors or their borrowers? </t>
  </si>
  <si>
    <t>EL Is there a strong follow-up system for late customers?</t>
  </si>
  <si>
    <t xml:space="preserve">Are the delay penalties stipulated in the contracts implemented? </t>
  </si>
  <si>
    <t xml:space="preserve">Are these technologies constantly applied in all branches? </t>
  </si>
  <si>
    <t xml:space="preserve">Do you use sorting techniques to reduce credit risk, which vary depending on the number and size of loans? </t>
  </si>
  <si>
    <t xml:space="preserve">Is the Credit Committee involved in loan follow-up and arrears management? </t>
  </si>
  <si>
    <t xml:space="preserve">Does the Credit Committee have enough experience to make wise decisions? </t>
  </si>
  <si>
    <t xml:space="preserve">Is the Credit Committee reviewing loan applications? </t>
  </si>
  <si>
    <t xml:space="preserve">Do  policies include a way to determine the nature of the customer/customer's personality? </t>
  </si>
  <si>
    <t>Have the requirements for customer/customer qualification for larger loans clearly been identified?</t>
  </si>
  <si>
    <t xml:space="preserve">Do policies specify what customer/customer files should include? Is there a list of  obligations? </t>
  </si>
  <si>
    <t xml:space="preserve">Are changes in policy properly documented and reported? </t>
  </si>
  <si>
    <t xml:space="preserve">Are loan policies and procedures developed and documented? </t>
  </si>
  <si>
    <t xml:space="preserve">Do product properties fit different segments in your target market (e.g. new customers/customers and permanent customers/customers)? </t>
  </si>
  <si>
    <t xml:space="preserve">Are loan products designed to meet the needs of your target market? </t>
  </si>
  <si>
    <t xml:space="preserve">Does your message statement  clearly define your target market and service delivery philosophy? </t>
  </si>
  <si>
    <t xml:space="preserve">Credit risk </t>
  </si>
  <si>
    <t xml:space="preserve">Does  your marketing program have a PR element? </t>
  </si>
  <si>
    <t xml:space="preserve">Does your organization take care of its brand in practice? </t>
  </si>
  <si>
    <t xml:space="preserve">Have employees been well trained to deal effectively with customer/customer complaints? </t>
  </si>
  <si>
    <t xml:space="preserve">Do end-of-business interviews take place with customers/customers who leave customer/customer groups or who stop using microfinance institution services to find out why they are leaving? </t>
  </si>
  <si>
    <t xml:space="preserve">Do you keep track of customer/customer satisfaction? </t>
  </si>
  <si>
    <t xml:space="preserve">Have you recently conducted market studies to accommodate the concept of your organization's target market and market position? </t>
  </si>
  <si>
    <t xml:space="preserve">Reputational risks </t>
  </si>
  <si>
    <t>Checks under collection</t>
  </si>
  <si>
    <t>Error check (current surplus/deficit with income statement net result)</t>
  </si>
  <si>
    <t>*</t>
  </si>
  <si>
    <t xml:space="preserve"> </t>
  </si>
  <si>
    <t>Net financial margin</t>
  </si>
  <si>
    <t xml:space="preserve">Error check (total portfolio= L23) </t>
  </si>
  <si>
    <t>Other</t>
  </si>
  <si>
    <t>Net profit or loss</t>
  </si>
  <si>
    <t>Net loan portfolio</t>
  </si>
  <si>
    <t>Gross loan portfolio</t>
  </si>
  <si>
    <t>Board members</t>
  </si>
  <si>
    <t>Currency</t>
  </si>
  <si>
    <t>Funding structure</t>
  </si>
  <si>
    <t>Use only local currency unless stated otherwise</t>
  </si>
  <si>
    <t>Type of institution</t>
  </si>
  <si>
    <t>A. Shareholders</t>
  </si>
  <si>
    <t>If you have no shareholders, go to B. Donated equity</t>
  </si>
  <si>
    <t>Name of shareholders / groups of shareholders</t>
  </si>
  <si>
    <t>Amount of shareholding (local currency)</t>
  </si>
  <si>
    <t>% Of total</t>
  </si>
  <si>
    <t>Number of shares</t>
  </si>
  <si>
    <t>New shareholder / new equity in the quarter (yes/no)</t>
  </si>
  <si>
    <t>Additional comments</t>
  </si>
  <si>
    <t>TOTAL</t>
  </si>
  <si>
    <t>B. Donated equity</t>
  </si>
  <si>
    <t>Add lines if needed</t>
  </si>
  <si>
    <t>Name of donator</t>
  </si>
  <si>
    <t>Amount donated (local currency)</t>
  </si>
  <si>
    <t xml:space="preserve">Repossession right (yes/no) </t>
  </si>
  <si>
    <t xml:space="preserve">Shareholders' loans </t>
  </si>
  <si>
    <t>Name of creditor</t>
  </si>
  <si>
    <t>Initial amount (local currency)</t>
  </si>
  <si>
    <t>Currency (e.g. eur, usd,...)</t>
  </si>
  <si>
    <t>Interest rate (base + margin)</t>
  </si>
  <si>
    <t>Fees</t>
  </si>
  <si>
    <t>Disbursement date (yyyy/mm/dd)</t>
  </si>
  <si>
    <t>Maturity date (yyyy/mm/dd )</t>
  </si>
  <si>
    <t>Outstanding balance (local currency)</t>
  </si>
  <si>
    <t xml:space="preserve">Principal repayment schedule (eg: bullet, grace period, quarter or yearly schedules) </t>
  </si>
  <si>
    <t>Senior management</t>
  </si>
  <si>
    <t>First name, Last name</t>
  </si>
  <si>
    <t>Title/position</t>
  </si>
  <si>
    <t>Email address</t>
  </si>
  <si>
    <t>Politically exposed person (yes/no)*</t>
  </si>
  <si>
    <t>Male/Female</t>
  </si>
  <si>
    <t>Power of representation and signature</t>
  </si>
  <si>
    <t>Experience / background</t>
  </si>
  <si>
    <t>Member since</t>
  </si>
  <si>
    <t>End of mandate</t>
  </si>
  <si>
    <t>Total board members</t>
  </si>
  <si>
    <t xml:space="preserve">General assembly members </t>
  </si>
  <si>
    <t>Number of general assembly members</t>
  </si>
  <si>
    <t>If yes, name(s) of the  politically exposed person(s) in your general assembly :</t>
  </si>
  <si>
    <t>Portfolio report</t>
  </si>
  <si>
    <t>Total number of loans disbursed during the period</t>
  </si>
  <si>
    <t>Total number of loans completely repaid during the period</t>
  </si>
  <si>
    <t>Total number of loans written off during the period</t>
  </si>
  <si>
    <t>Total number of loans outstanding end of period (n)</t>
  </si>
  <si>
    <t>Total value of loans disbursed during the period</t>
  </si>
  <si>
    <t>Total value of loans completely repaid during the period</t>
  </si>
  <si>
    <t>Total value of loans written off during the period</t>
  </si>
  <si>
    <t>Total value of loans outstanding end of period (n)</t>
  </si>
  <si>
    <t>Deposits</t>
  </si>
  <si>
    <t xml:space="preserve">Number of deposit accounts </t>
  </si>
  <si>
    <t xml:space="preserve">Amount of deposits </t>
  </si>
  <si>
    <t>Number of loans restructured, rescheduled or refinanced in the period</t>
  </si>
  <si>
    <t>Total value of loans restructured in the period</t>
  </si>
  <si>
    <t>Value of loans written off in the period</t>
  </si>
  <si>
    <t>Value of recoveries of written off loans in the period</t>
  </si>
  <si>
    <t>Net write-offs</t>
  </si>
  <si>
    <t>Total number of loans to staff or management during the period</t>
  </si>
  <si>
    <t>Total value of loans to staff or management during the period</t>
  </si>
  <si>
    <t>Current/ performing portfolio</t>
  </si>
  <si>
    <t xml:space="preserve">PAR 1 - 30 days </t>
  </si>
  <si>
    <t>PAR 31 - 60 days</t>
  </si>
  <si>
    <t>PAR 61 - 90 days</t>
  </si>
  <si>
    <t xml:space="preserve">PAR 91 - 120 days </t>
  </si>
  <si>
    <t>PAR 121 - 180 days</t>
  </si>
  <si>
    <t xml:space="preserve">PAR 181 - 360 days </t>
  </si>
  <si>
    <t xml:space="preserve">PAR &gt; 360 days </t>
  </si>
  <si>
    <t xml:space="preserve">Other (please specify) </t>
  </si>
  <si>
    <t>Total portfolio</t>
  </si>
  <si>
    <t xml:space="preserve">PAR 30 - 360 </t>
  </si>
  <si>
    <t>Portfolio at risk &gt;30 days</t>
  </si>
  <si>
    <t>Loan loss reserve (amount)</t>
  </si>
  <si>
    <t xml:space="preserve">Total loan loss reserve </t>
  </si>
  <si>
    <t>Loan officers</t>
  </si>
  <si>
    <t>Other employees</t>
  </si>
  <si>
    <t>Total number of employees</t>
  </si>
  <si>
    <t xml:space="preserve">Rural branches </t>
  </si>
  <si>
    <t>Urban branches</t>
  </si>
  <si>
    <t>Total number of branches</t>
  </si>
  <si>
    <t>Income statement</t>
  </si>
  <si>
    <t>Financial income &amp; expenses</t>
  </si>
  <si>
    <t>Interest on loans</t>
  </si>
  <si>
    <t>Interest on deposits and securities</t>
  </si>
  <si>
    <t>Loan fees</t>
  </si>
  <si>
    <t>Penalty fees</t>
  </si>
  <si>
    <t>Other income from lending</t>
  </si>
  <si>
    <t>Total financial income</t>
  </si>
  <si>
    <t>Interest on client deposits</t>
  </si>
  <si>
    <t>Other financial costs</t>
  </si>
  <si>
    <t>Total financial expenses</t>
  </si>
  <si>
    <t>Gross financial margin</t>
  </si>
  <si>
    <t>(Net loss loan provision, incl. Write-offs)</t>
  </si>
  <si>
    <t>Recoveries of written off loans</t>
  </si>
  <si>
    <t>Non-financial income</t>
  </si>
  <si>
    <t>Other operating income</t>
  </si>
  <si>
    <t>Operating expenses</t>
  </si>
  <si>
    <t>Personnel, salaries and benefits</t>
  </si>
  <si>
    <t>Depreciation</t>
  </si>
  <si>
    <t>Other provisions</t>
  </si>
  <si>
    <t>Other operating expenses</t>
  </si>
  <si>
    <t>Total operating expenses</t>
  </si>
  <si>
    <t>Extraordinary income</t>
  </si>
  <si>
    <t>Grants and donations</t>
  </si>
  <si>
    <t>Income from other programs</t>
  </si>
  <si>
    <t>Fx gain</t>
  </si>
  <si>
    <t>Other extraordinary income</t>
  </si>
  <si>
    <t>Extraordinary expenses</t>
  </si>
  <si>
    <t>Expenses from other programs</t>
  </si>
  <si>
    <t xml:space="preserve">Fx loss </t>
  </si>
  <si>
    <t>Other extraordinary expenses</t>
  </si>
  <si>
    <t>Net extraordinary income or loss</t>
  </si>
  <si>
    <t>Profit before tax</t>
  </si>
  <si>
    <t>Profit tax</t>
  </si>
  <si>
    <t>Cumulative net result</t>
  </si>
  <si>
    <t>Cash and equivalents</t>
  </si>
  <si>
    <t>Back-to-back deposits</t>
  </si>
  <si>
    <t>Gross loan portfolio n-1</t>
  </si>
  <si>
    <t>(Loan loss reserve)</t>
  </si>
  <si>
    <t xml:space="preserve">Net interest receivable </t>
  </si>
  <si>
    <t>Other current assets</t>
  </si>
  <si>
    <t>Total current assets</t>
  </si>
  <si>
    <t>Long-term investments</t>
  </si>
  <si>
    <t xml:space="preserve">Fixed assets - at cost value </t>
  </si>
  <si>
    <t xml:space="preserve">(Accumulated depreciation) </t>
  </si>
  <si>
    <t>Net fixed assets</t>
  </si>
  <si>
    <t>Other long-term assets</t>
  </si>
  <si>
    <t>Total long-term assets</t>
  </si>
  <si>
    <t>Total assets</t>
  </si>
  <si>
    <t>Accounts payable</t>
  </si>
  <si>
    <t>Short-Term Debt (&lt; 1year)</t>
  </si>
  <si>
    <t>Short-term deposits</t>
  </si>
  <si>
    <t>Provisions</t>
  </si>
  <si>
    <t>Other current liabilities</t>
  </si>
  <si>
    <t>Total current liabilities</t>
  </si>
  <si>
    <t>Long-term debt (&gt;1 year)</t>
  </si>
  <si>
    <t xml:space="preserve">Shareholders loans </t>
  </si>
  <si>
    <t xml:space="preserve">Subordinated loans qualifying as quasi-equity only </t>
  </si>
  <si>
    <t>Deposits long term (&gt;1 year)</t>
  </si>
  <si>
    <t>Other long term liabilities</t>
  </si>
  <si>
    <t>Total long-term liabilities</t>
  </si>
  <si>
    <t>Total liabilities</t>
  </si>
  <si>
    <t xml:space="preserve">Share capital/ donated equity </t>
  </si>
  <si>
    <t>Reserves</t>
  </si>
  <si>
    <t>Current surplus/(deficit)</t>
  </si>
  <si>
    <t>Retained surplus/(deficit)</t>
  </si>
  <si>
    <t>Total equity</t>
  </si>
  <si>
    <t>Total liabilities and equity</t>
  </si>
  <si>
    <t>Error check (assets - liabilities+ equity)</t>
  </si>
  <si>
    <t>Off-balance sheet items (please specify)</t>
  </si>
  <si>
    <t>Total off-balance sheet items</t>
  </si>
  <si>
    <t>Social performance</t>
  </si>
  <si>
    <t xml:space="preserve">Type of organization </t>
  </si>
  <si>
    <t xml:space="preserve">Foundation </t>
  </si>
  <si>
    <t>Mission</t>
  </si>
  <si>
    <t>SME support</t>
  </si>
  <si>
    <t>Local development</t>
  </si>
  <si>
    <t>Women empowerment</t>
  </si>
  <si>
    <t>Agriculture</t>
  </si>
  <si>
    <t>Financial inclusion</t>
  </si>
  <si>
    <t>Minority empowerment</t>
  </si>
  <si>
    <t>The board of directors uses social performance data to provide strategic direction to the institution.</t>
  </si>
  <si>
    <t>The institution's social goals and targets are included in the business plan or operational plan.</t>
  </si>
  <si>
    <t xml:space="preserve">The institution has an internal code of conduct (i.e. code of ethics, book of staff rules) displaying the organizational values and standards of professional conduct that are expected of all employees.   </t>
  </si>
  <si>
    <t>Consumption/personal</t>
  </si>
  <si>
    <t>Business</t>
  </si>
  <si>
    <t>Housing</t>
  </si>
  <si>
    <t>Green</t>
  </si>
  <si>
    <t>Non-financial services offered</t>
  </si>
  <si>
    <t>Financial literacy</t>
  </si>
  <si>
    <t>Business development services</t>
  </si>
  <si>
    <t>Other (coaching, apprenticeships, and soft skills)</t>
  </si>
  <si>
    <t>Health education</t>
  </si>
  <si>
    <t>Rural</t>
  </si>
  <si>
    <t>Urban</t>
  </si>
  <si>
    <t>Male</t>
  </si>
  <si>
    <t>Female</t>
  </si>
  <si>
    <t xml:space="preserve">Youth </t>
  </si>
  <si>
    <t>Individual loans</t>
  </si>
  <si>
    <t>Group loans</t>
  </si>
  <si>
    <t>GNI per capita</t>
  </si>
  <si>
    <t>Average outstanding loan size as % of GNI per capita*</t>
  </si>
  <si>
    <t xml:space="preserve">Number of outstanding loans with amount &lt; GNI per capita </t>
  </si>
  <si>
    <t>% of outstanding loans with amount &lt; GNI per capita</t>
  </si>
  <si>
    <t>Portfolio Yield</t>
  </si>
  <si>
    <t xml:space="preserve">Number of new clients during the reporting period </t>
  </si>
  <si>
    <t xml:space="preserve">Number of active clients at the beginning of the period </t>
  </si>
  <si>
    <t>Clients retention rate*</t>
  </si>
  <si>
    <t xml:space="preserve">Number of complaints registered by clients </t>
  </si>
  <si>
    <t>Complaints ratio*</t>
  </si>
  <si>
    <t xml:space="preserve">The institution has a client non-discrimination policy. </t>
  </si>
  <si>
    <t>The institution fully discloses to clients terms and conditions of loan products, including all charges and fees, associated prices, penalties, linked products and the total final amount to pay.</t>
  </si>
  <si>
    <t>The institution collects client satisfaction data at least once a year.</t>
  </si>
  <si>
    <t xml:space="preserve">The institution has an appropriate system in place to collect and resolve client complaints. </t>
  </si>
  <si>
    <t>Number of employees at the end of the reporting period.</t>
  </si>
  <si>
    <t>Number of employees at the beginning of the reporting period.</t>
  </si>
  <si>
    <t>Number of employees who left during the reporting period.</t>
  </si>
  <si>
    <t>Staff turnover rate</t>
  </si>
  <si>
    <t>Operating Expense Ratio</t>
  </si>
  <si>
    <t>Funding Expense Ratio</t>
  </si>
  <si>
    <t>Loan Loss Provision Expense Ratio</t>
  </si>
  <si>
    <t>Gross Revenue</t>
  </si>
  <si>
    <t>Interest on Loans &amp; Loans Fees %</t>
  </si>
  <si>
    <t>Interest on deposits &amp; securities %</t>
  </si>
  <si>
    <t>Other Income from Lending %</t>
  </si>
  <si>
    <t>Recoveries of Written Off %</t>
  </si>
  <si>
    <t>Other Operating Income %</t>
  </si>
  <si>
    <t>Extraordinary Income %</t>
  </si>
  <si>
    <t>Definitions</t>
  </si>
  <si>
    <t>Years</t>
  </si>
  <si>
    <t>Q1/2022</t>
  </si>
  <si>
    <t>Q2/2022</t>
  </si>
  <si>
    <t xml:space="preserve">NGO </t>
  </si>
  <si>
    <t xml:space="preserve">Microfinance </t>
  </si>
  <si>
    <t xml:space="preserve">Other </t>
  </si>
  <si>
    <t>Risks of non-independence (dependence on others)</t>
  </si>
  <si>
    <t xml:space="preserve">Risk of social Mission  </t>
  </si>
  <si>
    <t xml:space="preserve">Risk of Buisness Mission  </t>
  </si>
  <si>
    <t>Balance Sheet</t>
  </si>
  <si>
    <t>Senior Management</t>
  </si>
  <si>
    <t>Title/Position</t>
  </si>
  <si>
    <t>Revenues from interest, dividends and other payments generated by financial assets other than loan portfolio such as bearing interest deposit, certificates of deposit and treasury obligations. This includes receivables in cash and interest accrued but not yet received</t>
  </si>
  <si>
    <t>Recoveries  of written off loans</t>
  </si>
  <si>
    <t>Balance sheet</t>
  </si>
  <si>
    <t>Under this arrangement, the mfi deposits the foreign/hard currency loan proceeds into an interest bearing deposit account at a local bank, and pledges the hard currency account as collateral to support a local currency loan.</t>
  </si>
  <si>
    <t xml:space="preserve">Interest receivable is the amount of interest that has been earned, but which has not yet been received in cash. </t>
  </si>
  <si>
    <t xml:space="preserve">The purchase value or cost of long-term tangible and intangible piece of property that a firm owns and uses in the production of its income and is not expected to be consumed or converted into cash any sooner than at least one year's time. </t>
  </si>
  <si>
    <t>Error check</t>
  </si>
  <si>
    <t xml:space="preserve">Loan loss reserve in the balance sheet tab should be equal to loan loss reserves reported in the portfolio tab </t>
  </si>
  <si>
    <t>Equity</t>
  </si>
  <si>
    <t>Can be made of share capital = funds raised by issuing shares in return for cash (only applies for limited liabilities companies, joint stock companies) or  donated equity = investment grants for fixed assets and loan funds as opposed to operations grants that runs through the income statement. This includes association funds given for the MFI creation</t>
  </si>
  <si>
    <t>ORGANISATIONAL INFO</t>
  </si>
  <si>
    <t>Politically exposed person (peps)</t>
  </si>
  <si>
    <t xml:space="preserve">Individuals who are, or have been, entrusted with prominent public functions and their family members and close associates, includes both domestic and foreign peps. </t>
  </si>
  <si>
    <t xml:space="preserve">Principal repayment schedule agreed with the funder: in fine, depreciable amount, grace period ...or other please specify </t>
  </si>
  <si>
    <t>Donated equity</t>
  </si>
  <si>
    <t>Investment grants for fixed assets and loan funds as opposed to operations grants that runs through the income statement. This includes association funds given for the mfi creation</t>
  </si>
  <si>
    <t>Year 1</t>
  </si>
  <si>
    <t>Year 2</t>
  </si>
  <si>
    <t xml:space="preserve">Year 4 </t>
  </si>
  <si>
    <t xml:space="preserve">Exchange rate </t>
  </si>
  <si>
    <t xml:space="preserve">Total </t>
  </si>
  <si>
    <t>Let us see if we need to update information, especially from the IRIS database on social performance indicators(e.g. green)</t>
  </si>
  <si>
    <t>What is the source of this TAB ? Risk of all institutions answering yes. Let us discuss. List of required documents?</t>
  </si>
  <si>
    <t>I think that we should go in the direction of SP TAB</t>
  </si>
  <si>
    <t>Q3/2022</t>
  </si>
  <si>
    <t>Q4/2022</t>
  </si>
  <si>
    <t xml:space="preserve">Projections </t>
  </si>
  <si>
    <t xml:space="preserve">Total number of loans outstanding End  previous period </t>
  </si>
  <si>
    <t xml:space="preserve">Total value of loans outstanding End of previous period </t>
  </si>
  <si>
    <t xml:space="preserve">Staff  loans </t>
  </si>
  <si>
    <t>Portfolio activity</t>
  </si>
  <si>
    <t>Restructured, rescheduled loans &amp; write-offs</t>
  </si>
  <si>
    <t>Detailed PAR (amount) -     Principal only</t>
  </si>
  <si>
    <t xml:space="preserve">Net income from operations incl. Financing expenses  </t>
  </si>
  <si>
    <t xml:space="preserve">Total financial income - Interest on deposits </t>
  </si>
  <si>
    <t>Cash Flows from Operating Activities</t>
  </si>
  <si>
    <t>Net Operating Income</t>
  </si>
  <si>
    <t>Net Cash from Operating Activities</t>
  </si>
  <si>
    <t>Cash Flows from Investing Activities</t>
  </si>
  <si>
    <t>(Increase)/Decrease in long-term invest.</t>
  </si>
  <si>
    <t>(Increase)/Decrease in other assets</t>
  </si>
  <si>
    <t>Net Cash from Investing Activities</t>
  </si>
  <si>
    <t>Cash Flows from Financing Activities</t>
  </si>
  <si>
    <t>Increase/(Decrease) in borrowed funds</t>
  </si>
  <si>
    <t>Increase/(Decrease) in Stock</t>
  </si>
  <si>
    <t>(Dividend payments)</t>
  </si>
  <si>
    <t>Donated Equity</t>
  </si>
  <si>
    <t>Net Cash from Financing Activities</t>
  </si>
  <si>
    <t>Net Cash (received)/paid for non-oper. activities</t>
  </si>
  <si>
    <t>Net change in cash and due from banks</t>
  </si>
  <si>
    <t>Maintenance</t>
  </si>
  <si>
    <t>Stationary and printing materials</t>
  </si>
  <si>
    <t>Marketing expenses</t>
  </si>
  <si>
    <t>Training</t>
  </si>
  <si>
    <t>Cost of debt - interest and fees</t>
  </si>
  <si>
    <t xml:space="preserve">Outstanding at the end of previous period </t>
  </si>
  <si>
    <t>Lender 1</t>
  </si>
  <si>
    <t>Lender 2</t>
  </si>
  <si>
    <t>Lender 3</t>
  </si>
  <si>
    <t>Lender 4</t>
  </si>
  <si>
    <t>Lender 5</t>
  </si>
  <si>
    <t xml:space="preserve">Interest rate and commission </t>
  </si>
  <si>
    <t>(ii) Repayments</t>
  </si>
  <si>
    <t xml:space="preserve">Total Outstanding Debt  </t>
  </si>
  <si>
    <t xml:space="preserve">Average Weighted interest rate </t>
  </si>
  <si>
    <t xml:space="preserve">Risk score </t>
  </si>
  <si>
    <t>yes</t>
  </si>
  <si>
    <t>Number of branches</t>
  </si>
  <si>
    <t>Branches</t>
  </si>
  <si>
    <t xml:space="preserve">Staff </t>
  </si>
  <si>
    <t>Total number of active loans end of period (n)</t>
  </si>
  <si>
    <t xml:space="preserve">Total numbers of loans End of previous period </t>
  </si>
  <si>
    <t>Total number of  loans written off during the period</t>
  </si>
  <si>
    <t>Total value  of Loans outstanding end of period (n)</t>
  </si>
  <si>
    <t xml:space="preserve">Total of new clients </t>
  </si>
  <si>
    <t>Financial statements:</t>
  </si>
  <si>
    <t>Budgets/projections: Annual budgets for the past three years approved by the Board of Directors.</t>
  </si>
  <si>
    <t>Annual GLP growth (%)</t>
  </si>
  <si>
    <t>Estimated capital adequacy</t>
  </si>
  <si>
    <t>Head office staff as % of staff</t>
  </si>
  <si>
    <t>Loan officers as % of staff</t>
  </si>
  <si>
    <t>Efficiency</t>
  </si>
  <si>
    <t xml:space="preserve">Staff and Management turn over </t>
  </si>
  <si>
    <t>Staff turnover</t>
  </si>
  <si>
    <t>Personnel expense/Loan portfolio</t>
  </si>
  <si>
    <t>Average salary/GNI per capita</t>
  </si>
  <si>
    <t>Portfolio Quality</t>
  </si>
  <si>
    <t>Risk Coverage Ratio</t>
  </si>
  <si>
    <t>Average Outstanding Loan Size</t>
  </si>
  <si>
    <t>Active Clients per Staff Member</t>
  </si>
  <si>
    <t xml:space="preserve"> Borrowers per Loan Officer </t>
  </si>
  <si>
    <t>Asset/Liability Management</t>
  </si>
  <si>
    <t>Portfolio to Assets</t>
  </si>
  <si>
    <t>Sustainability and Profitability</t>
  </si>
  <si>
    <t xml:space="preserve">Operational Self-Sufficiency </t>
  </si>
  <si>
    <t>Financial Self-Sufficiency</t>
  </si>
  <si>
    <t>Depreciation and Amortization</t>
  </si>
  <si>
    <t>Impairment Losses on Loans</t>
  </si>
  <si>
    <t>(Cash Paid for Taxes)</t>
  </si>
  <si>
    <t>Value of Loans Repaid</t>
  </si>
  <si>
    <t>(Value of Loans Disbursed)</t>
  </si>
  <si>
    <t>(Increase)/Decrease in Trade Investments</t>
  </si>
  <si>
    <t>Increase/(Decrease) in Deposits</t>
  </si>
  <si>
    <t>(Increase)/Decrease in Receivables and Other Assets</t>
  </si>
  <si>
    <t>Increase/(Decrease) in Payables and Other Liabilities</t>
  </si>
  <si>
    <t>Cash and Due from Banks at the Beginning of the Period</t>
  </si>
  <si>
    <t>Exchange Rate Gains/(Losses) on Cash and Cash Equivalents</t>
  </si>
  <si>
    <t>Cash and Due from Banks at the End of the Period</t>
  </si>
  <si>
    <t xml:space="preserve">Debt (borrowings), (i) Outstanding and new funds </t>
  </si>
  <si>
    <t>Personnel manual</t>
  </si>
  <si>
    <t>Audited financial statements for the past two years</t>
  </si>
  <si>
    <t>Complete set of summary reports from the loan tracking system</t>
  </si>
  <si>
    <t>Documentation of funding liabilities</t>
  </si>
  <si>
    <t xml:space="preserve">Organization </t>
  </si>
  <si>
    <t>The most recent strategic plan, including financial outlook and Cash flow forecasts</t>
  </si>
  <si>
    <t>Unaudited financial statements for the year to date</t>
  </si>
  <si>
    <t>Operations manual</t>
  </si>
  <si>
    <t>Credit manual</t>
  </si>
  <si>
    <t>Loan loss provisioning, write-off, and recovery policies (if not in credit manual)</t>
  </si>
  <si>
    <t>Savings manual</t>
  </si>
  <si>
    <t>Internal controls manual</t>
  </si>
  <si>
    <t>Internal audit policies and manual</t>
  </si>
  <si>
    <t>Risk management policies</t>
  </si>
  <si>
    <t>Organizational chart</t>
  </si>
  <si>
    <t>List of committee memberships of board of directors (if board has committees)</t>
  </si>
  <si>
    <t>Minutes from past three meetings of board of directors6</t>
  </si>
  <si>
    <t>Description of financial and nonfinancial services</t>
  </si>
  <si>
    <t>Relevant microfinance regulations from national regulator</t>
  </si>
  <si>
    <t>Internal reports monitoring clients at entry, dropouts, market assessments, and other research</t>
  </si>
  <si>
    <t>KPIs and covenants</t>
  </si>
  <si>
    <t xml:space="preserve">Debt to equity </t>
  </si>
  <si>
    <t>PAR 30</t>
  </si>
  <si>
    <t xml:space="preserve">Women </t>
  </si>
  <si>
    <t xml:space="preserve">Digital platforms </t>
  </si>
  <si>
    <t xml:space="preserve">DFI1 </t>
  </si>
  <si>
    <t xml:space="preserve">DFI 2 </t>
  </si>
  <si>
    <t xml:space="preserve">DFI 3 </t>
  </si>
  <si>
    <t xml:space="preserve">DFI 4 </t>
  </si>
  <si>
    <t xml:space="preserve">DFI 5 </t>
  </si>
  <si>
    <t xml:space="preserve">Income statement </t>
  </si>
  <si>
    <t>Item</t>
  </si>
  <si>
    <t>Personnel allocation ratio (loan officers/# of personnel)</t>
  </si>
  <si>
    <t>Percentage of clients who are women</t>
  </si>
  <si>
    <t>Percentage of clients located in rural areas</t>
  </si>
  <si>
    <t>Percentage of recent clients living below the national poverty line</t>
  </si>
  <si>
    <t>Percentage of clients living on less than PPP adjusted US$1 per day</t>
  </si>
  <si>
    <t>Average or median loan balance as % of national poverty line or GNI</t>
  </si>
  <si>
    <t>Average or median voluntary savings balance as % of national poverty line or GNI</t>
  </si>
  <si>
    <t>Inflation rate</t>
  </si>
  <si>
    <t>Prime rate paid by commercial
bank borrowers</t>
  </si>
  <si>
    <t>Marginal commercial rate
available to the MFI</t>
  </si>
  <si>
    <t>Per capita GDP</t>
  </si>
  <si>
    <t>Per capita GNI</t>
  </si>
  <si>
    <t>Exchange rate (local currency/
other currency)</t>
  </si>
  <si>
    <t>National poverty line</t>
  </si>
  <si>
    <t>Market  interest rate for borrowings
(IMF statistics)</t>
  </si>
  <si>
    <t xml:space="preserve">Bench Mark </t>
  </si>
  <si>
    <t xml:space="preserve">Risk  Assessment  </t>
  </si>
  <si>
    <t>Return on Equity (ROE)</t>
  </si>
  <si>
    <t>Return on Assets (ROA)</t>
  </si>
  <si>
    <t>Debt to Equity</t>
  </si>
  <si>
    <t xml:space="preserve">Cost of Funds Ratio  </t>
  </si>
  <si>
    <t>Liquid Ratio Liquid assets/ total Assets</t>
  </si>
  <si>
    <t>Average outstanding loan size ()</t>
  </si>
  <si>
    <t xml:space="preserve">Outstanding  portfolio per loan loan officer </t>
  </si>
  <si>
    <t xml:space="preserve">Number of loans outstanding per loan officer </t>
  </si>
  <si>
    <t xml:space="preserve">Disbursed volume per loan officer </t>
  </si>
  <si>
    <t xml:space="preserve">Number of disb. Loans per loan officer </t>
  </si>
  <si>
    <t>Operating expenses ratio (assets)</t>
  </si>
  <si>
    <t>operation Cost per Active Client</t>
  </si>
  <si>
    <t xml:space="preserve">Client Retention ratio </t>
  </si>
  <si>
    <t>Average Loan size Disbursed</t>
  </si>
  <si>
    <t>List of board of directors, including curriculum vitaes</t>
  </si>
  <si>
    <t>External reports about the MFI from the past two years, such as ratings, assessments, evaluations,SPI 4 and impact studies</t>
  </si>
  <si>
    <t xml:space="preserve">Years of operations </t>
  </si>
  <si>
    <t>Current Ratio</t>
  </si>
  <si>
    <t xml:space="preserve">18- 35 years </t>
  </si>
  <si>
    <t>36-50 years</t>
  </si>
  <si>
    <t xml:space="preserve">51 and above </t>
  </si>
  <si>
    <t xml:space="preserve">Social performance </t>
  </si>
  <si>
    <t xml:space="preserve">Score </t>
  </si>
  <si>
    <t xml:space="preserve">Sub score </t>
  </si>
  <si>
    <t xml:space="preserve">Manuals and Procedures </t>
  </si>
  <si>
    <t>Human Resources manual</t>
  </si>
  <si>
    <t xml:space="preserve">Historical Data </t>
  </si>
  <si>
    <t>Organization</t>
  </si>
  <si>
    <t>Issue</t>
  </si>
  <si>
    <t xml:space="preserve">Does your organization have a clear statement of message that determines the target market? </t>
  </si>
  <si>
    <t xml:space="preserve">Are staff aware of the statement of  the organization's mission and do they use it to direct their actions? </t>
  </si>
  <si>
    <t xml:space="preserve">Does your organization have a statement of core values? </t>
  </si>
  <si>
    <t xml:space="preserve">Does your organization use appropriate screening techniques to ensure that it serves the target market? </t>
  </si>
  <si>
    <t xml:space="preserve">Do loan sizes suit the needs of customers/customers? </t>
  </si>
  <si>
    <t xml:space="preserve">Do the requirements for a loan take into account (e.g. warranty, meetings, business plan, compulsory  savings) the organization's need to control credit risk without overloading customers/customers? </t>
  </si>
  <si>
    <t xml:space="preserve">Is the target market suitable for access to services, depending on the length of time required, the location of the services (i.e. branch locations), and the timing of access to these services (i.e. working hours)? </t>
  </si>
  <si>
    <t xml:space="preserve">Do you conduct a  market study regularly to stay informed of changes in the needs of the target market? </t>
  </si>
  <si>
    <t xml:space="preserve"> Are there minutes for regular board meetings? </t>
  </si>
  <si>
    <t xml:space="preserve">Does the Board of Directors provide an environment conducive to transparency and internal control? </t>
  </si>
  <si>
    <t xml:space="preserve">Do you have an action plan to reach sufficiency in an appropriate period of time? </t>
  </si>
  <si>
    <t xml:space="preserve">Do you update the plan and use it regularly to make management decisions? </t>
  </si>
  <si>
    <t xml:space="preserve">Do you follow sustainability and profitability indicators? </t>
  </si>
  <si>
    <t xml:space="preserve">Do you have a job statement  and annual performance assessments for all employees including senior management? </t>
  </si>
  <si>
    <t xml:space="preserve">Is an external annual audit conducted by a trusted audit company? </t>
  </si>
  <si>
    <t xml:space="preserve">Are you moving towards obtaining commercial capital resources and reducing reliance on grant funding resources? </t>
  </si>
  <si>
    <t xml:space="preserve">Do you provide accurate data on in-kind subsidies and donations? </t>
  </si>
  <si>
    <t xml:space="preserve">Are interest rate groups sufficient to cover the full cost of microfinance institutions? </t>
  </si>
  <si>
    <t xml:space="preserve">Is there an independent governing body that guides the institution? </t>
  </si>
  <si>
    <t xml:space="preserve">Has your organization built the capacity to work separate from technical assistance, or is it working to do so? </t>
  </si>
  <si>
    <t xml:space="preserve">Does your organization have the capacity to identify its needs and to hire appropriate technical experts to deal with these needs on its terms?  </t>
  </si>
  <si>
    <t xml:space="preserve">Does your organization have a plan to form an independent legal structure? </t>
  </si>
  <si>
    <t xml:space="preserve"> Does your organization have the capacity and commitment to develop its business plan? </t>
  </si>
  <si>
    <t>Does your organization have an independent contract for financial resources from a donor or  a commercial financier?</t>
  </si>
  <si>
    <t xml:space="preserve">Does WHO reduce its dependence on donor subsidies? </t>
  </si>
  <si>
    <t xml:space="preserve">Does your organization have its own financial system. </t>
  </si>
  <si>
    <t>Observations</t>
  </si>
  <si>
    <t xml:space="preserve">Governance </t>
  </si>
  <si>
    <r>
      <t>Quality and completeness</t>
    </r>
    <r>
      <rPr>
        <b/>
        <vertAlign val="superscript"/>
        <sz val="11"/>
        <rFont val="Calibri"/>
        <family val="2"/>
        <scheme val="minor"/>
      </rPr>
      <t xml:space="preserve"> (5 full complete, 1 not available)</t>
    </r>
  </si>
  <si>
    <t xml:space="preserve">Audit committee </t>
  </si>
  <si>
    <t>HR committee</t>
  </si>
  <si>
    <t xml:space="preserve">Executive committee </t>
  </si>
  <si>
    <t>Financial statements reporting:</t>
  </si>
  <si>
    <t>MFI adapted its product designs, loan policies, and staff hiring, training, and incentives to ensure it reaches its target clients?</t>
  </si>
  <si>
    <t>The MFI’s management and board have the vision, ability, leadership, and experience to lead it, now and in the future.</t>
  </si>
  <si>
    <t>The MFI have a clear mission that is embraced and implemented by its board and staff.</t>
  </si>
  <si>
    <t xml:space="preserve">The MFI have a clear target market it is trying to reach? Does it have a coherent strategy for reaching that market? How successful has it been in reaching it? </t>
  </si>
  <si>
    <t xml:space="preserve">The MFI’s board have the experience and commitment needed to provide fiduciary and strategic oversight of the MFI. </t>
  </si>
  <si>
    <t>The board capable of enabling the MFI to achieve its mission, guiding its strategic direction, managing and mitigating risks, and ensuring accountability throughout the institution.</t>
  </si>
  <si>
    <t>The board appropriately qualified, active, and experienced in fields such as banking, law, accounting, and social development.</t>
  </si>
  <si>
    <t>All board members agree on the MFI’s mission and strategic direction.</t>
  </si>
  <si>
    <t>The MFI has an Audited financial statements for the past three years</t>
  </si>
  <si>
    <t>The MFI prepare Budgets/projections: Annual budgets for the past three years approved by the Board of Directors.</t>
  </si>
  <si>
    <t xml:space="preserve">Operations manual </t>
  </si>
  <si>
    <t xml:space="preserve">Finance and Administration manual </t>
  </si>
  <si>
    <t>The MFI have clearly defined social goals</t>
  </si>
  <si>
    <t>The MFI have systems that are aligned with its social goals</t>
  </si>
  <si>
    <t>The MFI achieving its desired depth and breadth of outreach, or does it have credible plans to do so?</t>
  </si>
  <si>
    <t>The institution implements specific environmental policies? (If the answer is "yes / partially" please specify)</t>
  </si>
  <si>
    <t xml:space="preserve">Are you offering a wide range of loan sizes so that the best customers/customers do not deviate from the instituation  </t>
  </si>
  <si>
    <t xml:space="preserve">Did your customer retention rate decline over the previous year? </t>
  </si>
  <si>
    <t xml:space="preserve">Are the products designed to ensure that premium  customers/customers  do not leak from the program? </t>
  </si>
  <si>
    <t xml:space="preserve">Are the loan product regularly reviewed to determine whether or not they should be modified? </t>
  </si>
  <si>
    <t xml:space="preserve">Are loan approval policies fully followed? </t>
  </si>
  <si>
    <t xml:space="preserve"> Are there criteria for late loan collection procedures? </t>
  </si>
  <si>
    <t xml:space="preserve">Are loan officers also  responsible for the quality of their portfolio? </t>
  </si>
  <si>
    <t xml:space="preserve">Are loan officers well trained in arrears management strategies? </t>
  </si>
  <si>
    <t xml:space="preserve">Does the institutions have an appropriate and clear rescheduling policy? </t>
  </si>
  <si>
    <t xml:space="preserve">Has adebt written-off  policy been put in place? </t>
  </si>
  <si>
    <t xml:space="preserve">Does that policy set the standard for write -off  periodic review procedures and existing collection efforts? </t>
  </si>
  <si>
    <t xml:space="preserve">Are exist interviews conducted with customers/customers who stop receivingservices? </t>
  </si>
  <si>
    <t xml:space="preserve">Does the branch and loan officers provide information on the quality of the portfolio? </t>
  </si>
  <si>
    <t xml:space="preserve">Are you using procedures designed to attract individual who are driven by strong values ? </t>
  </si>
  <si>
    <t xml:space="preserve">Are new employees aware of the microfinance institution principle and intolerance? </t>
  </si>
  <si>
    <t xml:space="preserve">Is there an immediate policy when employees are defrauried or dishonest? </t>
  </si>
  <si>
    <t xml:space="preserve">Does the internal reviewer report directly to the Board of Directors? </t>
  </si>
  <si>
    <t xml:space="preserve">Does the instituation have written policies on dealing with cash? </t>
  </si>
  <si>
    <t xml:space="preserve">Is the cash of each cashier confirmed without prior notice by certain people, and is the cash register kept?  </t>
  </si>
  <si>
    <t xml:space="preserve">Are policies reviewed to ensure they conform to local employment standards? </t>
  </si>
  <si>
    <t xml:space="preserve">Do staff know the organization's mission statement  and use it to direct their actions? </t>
  </si>
  <si>
    <t xml:space="preserve">Is there a staff performance management system  at all levels? </t>
  </si>
  <si>
    <t xml:space="preserve">Is there a functional structure  chart  available to the organization that clearly shows the reporting channels for all staff? </t>
  </si>
  <si>
    <t xml:space="preserve">Are termination interviews conducted  with employees leaving work to determine the reasons for leaving the job? </t>
  </si>
  <si>
    <t xml:space="preserve">Have you analyzed your procesees and procedures to identify and eliminate ineffectiveness points? </t>
  </si>
  <si>
    <t xml:space="preserve"> Is there a basic list of all the requirements for reporting with purpose, due dates, person in charge, etc.? </t>
  </si>
  <si>
    <t xml:space="preserve">Do reporting responsibilities interfere with employee performance objectives? </t>
  </si>
  <si>
    <t xml:space="preserve">Do reports provide appropriate information in a clear form? </t>
  </si>
  <si>
    <t xml:space="preserve">Are the reports prepared accurately and on time? </t>
  </si>
  <si>
    <t xml:space="preserve"> Do financial reports follow the international accounting standards? </t>
  </si>
  <si>
    <t xml:space="preserve">Are  financial indicators prepared in a way that helps in the decision-making process? </t>
  </si>
  <si>
    <t xml:space="preserve">Is the current information system capable of dealing with the current and increasing volume of transactions? </t>
  </si>
  <si>
    <t>Have future system needs been analyzed and planned , including cost?</t>
  </si>
  <si>
    <t xml:space="preserve">Are  large investments in the system and equipment approved by the Board of Directors or  the Management  Committee? </t>
  </si>
  <si>
    <t xml:space="preserve">Have competent people been appointed to IT positions  ? </t>
  </si>
  <si>
    <t xml:space="preserve">Are computer operations performed where they cannot be seen by the public and unauthorized visitors? </t>
  </si>
  <si>
    <t xml:space="preserve">Has a master's room been equipped with heat and smoke detectors, temperature and humidity control equipment, water sensors and alternative power generators (uninterrupted power generator system)? </t>
  </si>
  <si>
    <t xml:space="preserve"> Is the computer power generator placed in a insulation from the power generator of other devices? </t>
  </si>
  <si>
    <t xml:space="preserve"> Do computer-processing contingency plans fall into the bank or microfinance institution's emergency preparedness plans? </t>
  </si>
  <si>
    <t xml:space="preserve">Is the backup data system secured  daily or sent to another location under appropriate storage conditions? </t>
  </si>
  <si>
    <t xml:space="preserve"> Do emergency procedures include power outages, restarts, information recovery and repair procedures? </t>
  </si>
  <si>
    <t xml:space="preserve"> Is there a driver's manual for the system and users that includes error messages with appropriate responses, restart and repair procedures? </t>
  </si>
  <si>
    <t xml:space="preserve">Is maintenance carried out according to a predetermined schedule and is it documented? </t>
  </si>
  <si>
    <t xml:space="preserve">Are disaater recovery plans tested periodically? </t>
  </si>
  <si>
    <t xml:space="preserve">Have control systems been put in place for each source of data entering the automated system? </t>
  </si>
  <si>
    <t xml:space="preserve">Is access controlled by user ID and passwords tracked and reported by the system? </t>
  </si>
  <si>
    <t xml:space="preserve">Is there a separation of duties between programmers and computer operators? </t>
  </si>
  <si>
    <t xml:space="preserve">Is document storage and control system in place? </t>
  </si>
  <si>
    <t xml:space="preserve">Have you complied with all relevant laws and regulations and have this been documented and reviewed? </t>
  </si>
  <si>
    <t xml:space="preserve">Is there a strong legal system that allows the implementation of contract terms? </t>
  </si>
  <si>
    <t xml:space="preserve">Do labor laws restrict the institution? </t>
  </si>
  <si>
    <t xml:space="preserve">Do you follow customer/customer retention rates? </t>
  </si>
  <si>
    <t xml:space="preserve">Can your organization access the list of distressed borrowers at the industry level or a credit enquiry system? </t>
  </si>
  <si>
    <t xml:space="preserve">Does your organization know where it is in the market in terms of competition? </t>
  </si>
  <si>
    <t xml:space="preserve"> Do you have an emergency plan that has been reviewed and approved by the Board of Directors? </t>
  </si>
  <si>
    <t xml:space="preserve">Does the plan provide appropriate alternatives to running the businessin the event of the destruction of your main centres or other vital facilities? </t>
  </si>
  <si>
    <t xml:space="preserve">Are the records protected by making a copy of them and placing them in a secure store outside the property? </t>
  </si>
  <si>
    <t xml:space="preserve">Have all staff participated in an emergency training program? </t>
  </si>
  <si>
    <t xml:space="preserve">Has the Board of Directors ratified the foundation's insurance policy? </t>
  </si>
  <si>
    <t xml:space="preserve">Do you require a formal analysis and study of all insuranceable risks and all types of coverage? </t>
  </si>
  <si>
    <t xml:space="preserve">Are the expiration dates of the policies appropriately recorded to ensure the immediate payment of renewal premiums? </t>
  </si>
  <si>
    <t>Recoveries of previously written off loan principal</t>
  </si>
  <si>
    <t xml:space="preserve">All other income not related to the lending activities </t>
  </si>
  <si>
    <t xml:space="preserve">All other expenses not related to the lending activities </t>
  </si>
  <si>
    <t xml:space="preserve">  </t>
  </si>
  <si>
    <t>Risk of Buisness Mission</t>
  </si>
  <si>
    <t>Credit risk</t>
  </si>
  <si>
    <t>The institution has a clear approved organizational chart</t>
  </si>
  <si>
    <t>The Institution preformed during the last three years an Internal reports monitoring clients at entry, dropouts, market assessments, and \ or other research</t>
  </si>
  <si>
    <t>The institution has a clear description of financial products and non-financial services</t>
  </si>
  <si>
    <t xml:space="preserve">The board of directors has sub-board committees and meets regularly </t>
  </si>
  <si>
    <t xml:space="preserve">The institution keeps minutes of board meetings for the past two years </t>
  </si>
  <si>
    <t>The institution has Unaudited financial statements for the year to date</t>
  </si>
  <si>
    <t>The institution conducted an External reports about the MFI during the past two years, such as ratings, assessments, evaluations, SPI4 and impact studies</t>
  </si>
  <si>
    <t xml:space="preserve">Prepare and follow-up  monthly and/ or quarterly operational performance </t>
  </si>
  <si>
    <t xml:space="preserve">Prepare and follow-up  monthly and/ or quarterly financial performance </t>
  </si>
  <si>
    <t xml:space="preserve">Prepare and follow-up  monthly and/ or quarterly individual branch's performance </t>
  </si>
  <si>
    <t xml:space="preserve">The insinuation implement performance management system and KPIs reporting </t>
  </si>
  <si>
    <t xml:space="preserve">The institution have and implement a written human resources policy. </t>
  </si>
  <si>
    <t xml:space="preserve">The institution is formally registered and regulated by the government. </t>
  </si>
  <si>
    <t>The institution has a Complete set of summary reports from the loan tracking system</t>
  </si>
  <si>
    <t>Administrative expenses , Professional/ consultancy fees</t>
  </si>
  <si>
    <t>Occupancy expenses (rent + utilities)</t>
  </si>
  <si>
    <t>Error check: 
Portfolio! Total loan loss reserve +Balance!(Loan loss reserve) &lt;= 1</t>
  </si>
  <si>
    <t xml:space="preserve">Cash flow Statement </t>
  </si>
  <si>
    <t xml:space="preserve">Debt (borrowings) (i) Balance Outstanding </t>
  </si>
  <si>
    <t>Penalty Fees %</t>
  </si>
  <si>
    <t xml:space="preserve">Do you have politically exposed persons in your  general assembly? </t>
  </si>
  <si>
    <t>Portfolio of staff by gender</t>
  </si>
  <si>
    <t xml:space="preserve">Total Risk Exposure </t>
  </si>
  <si>
    <t xml:space="preserve">Write-off Ratio </t>
  </si>
  <si>
    <t>Portfolio-at-Risk (PAR) Ratio</t>
  </si>
  <si>
    <t>Qualitative assessment</t>
  </si>
  <si>
    <t>Year 3</t>
  </si>
  <si>
    <t>Year 4</t>
  </si>
  <si>
    <t xml:space="preserve">Average </t>
  </si>
  <si>
    <t>%</t>
  </si>
  <si>
    <t>Portfolio-at-Risk (PAR) Ratio A</t>
  </si>
  <si>
    <t>Write-off Ratio</t>
  </si>
  <si>
    <t xml:space="preserve">Total Assessment </t>
  </si>
  <si>
    <t xml:space="preserve">The MFI Score </t>
  </si>
  <si>
    <t>Active loans By geographical classification</t>
  </si>
  <si>
    <t>Active loans By gender</t>
  </si>
  <si>
    <t>Active loans By type of loans</t>
  </si>
  <si>
    <t xml:space="preserve">Active loans per loan Type </t>
  </si>
  <si>
    <t xml:space="preserve">Financial Performance </t>
  </si>
  <si>
    <t xml:space="preserve">once we finalize the document will edit the whole document terminilogy </t>
  </si>
  <si>
    <t xml:space="preserve">Business </t>
  </si>
  <si>
    <t>Active loans By age</t>
  </si>
  <si>
    <t xml:space="preserve">Witten off </t>
  </si>
  <si>
    <t xml:space="preserve">Refugees and immigrants </t>
  </si>
  <si>
    <t xml:space="preserve">Minimum capital requirement </t>
  </si>
  <si>
    <t>There is already a TAB called social performance. Better to centralize</t>
  </si>
  <si>
    <t>Please address my comments. Do we need all these parameters for the formulas?</t>
  </si>
  <si>
    <t>Documentation required</t>
  </si>
  <si>
    <t>Financial &amp; Portfolio Information</t>
  </si>
  <si>
    <t>Available</t>
  </si>
  <si>
    <t>no</t>
  </si>
  <si>
    <t>Registration &amp; Organization</t>
  </si>
  <si>
    <t>Manuals and procedures</t>
  </si>
  <si>
    <t>Others</t>
  </si>
  <si>
    <t>Documentation completeness</t>
  </si>
  <si>
    <t>Once that the list is complete, we can create a score based on the completeness of the information</t>
  </si>
  <si>
    <t>Senior Management &amp; Board</t>
  </si>
  <si>
    <t>Documentation type</t>
  </si>
  <si>
    <t>Basic Information</t>
  </si>
  <si>
    <t>Name of institution</t>
  </si>
  <si>
    <t>Address</t>
  </si>
  <si>
    <t>Telephone</t>
  </si>
  <si>
    <t>Institution</t>
  </si>
  <si>
    <t>First Name, Last Name</t>
  </si>
  <si>
    <t>Title / Position</t>
  </si>
  <si>
    <t>E-mail</t>
  </si>
  <si>
    <t>Contact details</t>
  </si>
  <si>
    <t xml:space="preserve">Do we need this TAB? Or shall we have the financial ratios as part of the Scoring Board. Some of them are already there. </t>
  </si>
  <si>
    <t>Table is repeating info from the other one. Let us discuss</t>
  </si>
  <si>
    <t xml:space="preserve">Historical Data Active Loans per segment </t>
  </si>
  <si>
    <t xml:space="preserve">Licensed and registered </t>
  </si>
  <si>
    <t xml:space="preserve">Three years of Operation </t>
  </si>
  <si>
    <t xml:space="preserve">Registered and regulated by Financial Authority or Centrale Bank  </t>
  </si>
  <si>
    <t>Employees receive skills training/development related to their essential job functions  (If yes, please indicate the number of employees who received training during the reporting period)</t>
  </si>
  <si>
    <t>Detailed Portfolio reprot</t>
  </si>
  <si>
    <t>Audited financial statements for the past three years</t>
  </si>
  <si>
    <t>Score weight</t>
  </si>
  <si>
    <t xml:space="preserve">Total Borrowed funds </t>
  </si>
  <si>
    <r>
      <t xml:space="preserve">Does </t>
    </r>
    <r>
      <rPr>
        <sz val="16"/>
        <rFont val="Calibri"/>
        <family val="2"/>
      </rPr>
      <t>the administration assess the adequacy of the general reserve at least every quarter? Does this review consider the non-payment of previous loans, the effectiveness of the lending policy, the change in the nature of the lending portfolio, current economic situations and the position of problematic loans?</t>
    </r>
  </si>
  <si>
    <r>
      <t>Quality and completeness</t>
    </r>
    <r>
      <rPr>
        <b/>
        <vertAlign val="superscript"/>
        <sz val="14"/>
        <rFont val="Calibri"/>
        <family val="2"/>
        <scheme val="minor"/>
      </rPr>
      <t xml:space="preserve">   (5 full complete, 1 not available)</t>
    </r>
  </si>
  <si>
    <t xml:space="preserve">Average Assests </t>
  </si>
  <si>
    <t xml:space="preserve">Average porfolio </t>
  </si>
  <si>
    <t xml:space="preserve">DashBoard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</si>
</sst>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4" formatCode="_(&quot;$&quot;* #,##0.00_);_(&quot;$&quot;* \(#,##0.00\);_(&quot;$&quot;* &quot;-&quot;??_);_(@_)"/>
    <numFmt numFmtId="43" formatCode="_(* #,##0.00_);_(* \(#,##0.00\);_(* &quot;-&quot;??_);_(@_)"/>
    <numFmt numFmtId="164" formatCode="_(\ #,##0;_(\(#,##0\)"/>
    <numFmt numFmtId="165" formatCode="_-* #,##0\ _€_-;\-* #,##0\ _€_-;_-* &quot;-&quot;??\ _€_-;_-@_-"/>
    <numFmt numFmtId="166" formatCode="_(#,##0.0%;_(\(#,##0.0%\)"/>
    <numFmt numFmtId="167" formatCode="#,##0.0000"/>
    <numFmt numFmtId="168" formatCode="#,##0_ ;\-#,##0\ "/>
    <numFmt numFmtId="169" formatCode="_(\ #,###;_(\(#,###\)"/>
    <numFmt numFmtId="170" formatCode="#,##0_ \ ;\(#,##0\)\ "/>
    <numFmt numFmtId="171" formatCode="yyyy/mm/dd;@"/>
    <numFmt numFmtId="172" formatCode="0_);\(0\)"/>
    <numFmt numFmtId="173" formatCode="0.0%"/>
    <numFmt numFmtId="175" formatCode="0.000%"/>
  </numFmts>
  <fonts count="54">
    <font>
      <sz val="11"/>
      <color theme="1"/>
      <name val="Calibri"/>
      <family val="2"/>
      <scheme val="minor"/>
    </font>
    <font>
      <sz val="11"/>
      <color theme="1"/>
      <name val="Calibri"/>
      <family val="2"/>
      <scheme val="minor"/>
    </font>
    <font>
      <b/>
      <sz val="11"/>
      <color theme="1"/>
      <name val="Calibri"/>
      <family val="2"/>
      <scheme val="minor"/>
    </font>
    <font>
      <sz val="10"/>
      <name val="Times New Roman"/>
      <family val="1"/>
    </font>
    <font>
      <sz val="12"/>
      <color theme="1"/>
      <name val="Arial"/>
      <family val="2"/>
    </font>
    <font>
      <sz val="10"/>
      <name val="Arial"/>
      <family val="2"/>
    </font>
    <font>
      <sz val="9"/>
      <name val="Geneva"/>
      <family val="2"/>
    </font>
    <font>
      <sz val="11"/>
      <color indexed="8"/>
      <name val="Calibri"/>
      <family val="2"/>
    </font>
    <font>
      <b/>
      <sz val="10"/>
      <name val="Times New Roman"/>
      <family val="1"/>
    </font>
    <font>
      <b/>
      <sz val="8"/>
      <color indexed="57"/>
      <name val="Arial"/>
      <family val="2"/>
    </font>
    <font>
      <b/>
      <u/>
      <sz val="10"/>
      <color indexed="16"/>
      <name val="Times New Roman"/>
      <family val="1"/>
    </font>
    <font>
      <sz val="11"/>
      <name val="Calibri"/>
      <family val="2"/>
      <scheme val="minor"/>
    </font>
    <font>
      <sz val="11"/>
      <name val="Arial Narrow"/>
      <family val="2"/>
      <charset val="238"/>
    </font>
    <font>
      <b/>
      <sz val="11"/>
      <name val="Calibri"/>
      <family val="2"/>
      <scheme val="minor"/>
    </font>
    <font>
      <i/>
      <sz val="11"/>
      <name val="Calibri"/>
      <family val="2"/>
      <scheme val="minor"/>
    </font>
    <font>
      <b/>
      <sz val="14"/>
      <color theme="0"/>
      <name val="Calibri"/>
      <family val="2"/>
      <scheme val="minor"/>
    </font>
    <font>
      <sz val="8"/>
      <name val="Calibri"/>
      <family val="2"/>
      <scheme val="minor"/>
    </font>
    <font>
      <sz val="14"/>
      <name val="Times New Roman"/>
      <family val="1"/>
    </font>
    <font>
      <sz val="14"/>
      <color theme="0"/>
      <name val="Calibri"/>
      <family val="2"/>
      <scheme val="minor"/>
    </font>
    <font>
      <b/>
      <sz val="14"/>
      <name val="Calibri"/>
      <family val="2"/>
      <scheme val="minor"/>
    </font>
    <font>
      <sz val="14"/>
      <color theme="0"/>
      <name val="Times New Roman"/>
      <family val="1"/>
    </font>
    <font>
      <b/>
      <sz val="12"/>
      <name val="Calibri"/>
      <family val="2"/>
      <scheme val="minor"/>
    </font>
    <font>
      <sz val="12"/>
      <name val="Calibri"/>
      <family val="2"/>
      <scheme val="minor"/>
    </font>
    <font>
      <sz val="11"/>
      <color rgb="FFFF0000"/>
      <name val="Calibri"/>
      <family val="2"/>
      <scheme val="minor"/>
    </font>
    <font>
      <sz val="11"/>
      <color theme="8" tint="-0.249977111117893"/>
      <name val="Calibri"/>
      <family val="2"/>
      <scheme val="minor"/>
    </font>
    <font>
      <i/>
      <sz val="11"/>
      <color rgb="FFFF0000"/>
      <name val="Calibri"/>
      <family val="2"/>
      <scheme val="minor"/>
    </font>
    <font>
      <sz val="11"/>
      <color rgb="FFCC0000"/>
      <name val="Calibri"/>
      <family val="2"/>
      <scheme val="minor"/>
    </font>
    <font>
      <sz val="14"/>
      <name val="Calibri"/>
      <family val="2"/>
      <scheme val="minor"/>
    </font>
    <font>
      <b/>
      <u/>
      <sz val="10"/>
      <name val="Calibri"/>
      <family val="2"/>
      <scheme val="minor"/>
    </font>
    <font>
      <u/>
      <sz val="11"/>
      <name val="Calibri"/>
      <family val="2"/>
      <scheme val="minor"/>
    </font>
    <font>
      <b/>
      <sz val="18"/>
      <color theme="0"/>
      <name val="Calibri"/>
      <family val="2"/>
      <scheme val="minor"/>
    </font>
    <font>
      <b/>
      <sz val="12"/>
      <color theme="0"/>
      <name val="Calibri"/>
      <family val="2"/>
      <scheme val="minor"/>
    </font>
    <font>
      <sz val="11"/>
      <name val="Calibri"/>
      <family val="2"/>
    </font>
    <font>
      <sz val="12"/>
      <color rgb="FF202124"/>
      <name val="Calibri"/>
      <family val="2"/>
      <scheme val="minor"/>
    </font>
    <font>
      <b/>
      <sz val="11"/>
      <color rgb="FFFF0000"/>
      <name val="Calibri"/>
      <family val="2"/>
      <scheme val="minor"/>
    </font>
    <font>
      <b/>
      <sz val="22"/>
      <name val="Calibri"/>
      <family val="2"/>
      <scheme val="minor"/>
    </font>
    <font>
      <b/>
      <sz val="24"/>
      <name val="Calibri"/>
      <family val="2"/>
      <scheme val="minor"/>
    </font>
    <font>
      <b/>
      <sz val="11"/>
      <color indexed="8"/>
      <name val="Arial"/>
      <family val="2"/>
    </font>
    <font>
      <sz val="11"/>
      <color indexed="8"/>
      <name val="Arial"/>
      <family val="2"/>
    </font>
    <font>
      <b/>
      <sz val="16"/>
      <name val="Calibri"/>
      <family val="2"/>
      <scheme val="minor"/>
    </font>
    <font>
      <sz val="12"/>
      <color theme="1"/>
      <name val="Calibri"/>
      <family val="2"/>
      <scheme val="minor"/>
    </font>
    <font>
      <sz val="11"/>
      <color rgb="FF7030A0"/>
      <name val="Calibri"/>
      <family val="2"/>
      <scheme val="minor"/>
    </font>
    <font>
      <b/>
      <vertAlign val="superscript"/>
      <sz val="11"/>
      <name val="Calibri"/>
      <family val="2"/>
      <scheme val="minor"/>
    </font>
    <font>
      <sz val="14"/>
      <color theme="1"/>
      <name val="Calibri"/>
      <family val="2"/>
      <scheme val="minor"/>
    </font>
    <font>
      <sz val="11"/>
      <color theme="4"/>
      <name val="Calibri"/>
      <family val="2"/>
      <scheme val="minor"/>
    </font>
    <font>
      <sz val="11"/>
      <color theme="0"/>
      <name val="Calibri"/>
      <family val="2"/>
      <scheme val="minor"/>
    </font>
    <font>
      <b/>
      <sz val="11"/>
      <color theme="0"/>
      <name val="Calibri"/>
      <family val="2"/>
      <scheme val="minor"/>
    </font>
    <font>
      <sz val="12"/>
      <color theme="0"/>
      <name val="Calibri"/>
      <family val="2"/>
      <scheme val="minor"/>
    </font>
    <font>
      <sz val="16"/>
      <name val="Times New Roman"/>
      <family val="1"/>
    </font>
    <font>
      <b/>
      <sz val="16"/>
      <color theme="0"/>
      <name val="Calibri"/>
      <family val="2"/>
      <scheme val="minor"/>
    </font>
    <font>
      <sz val="16"/>
      <name val="Calibri"/>
      <family val="2"/>
      <scheme val="minor"/>
    </font>
    <font>
      <sz val="16"/>
      <color theme="0"/>
      <name val="Calibri"/>
      <family val="2"/>
      <scheme val="minor"/>
    </font>
    <font>
      <sz val="16"/>
      <name val="Calibri"/>
      <family val="2"/>
    </font>
    <font>
      <b/>
      <vertAlign val="superscript"/>
      <sz val="14"/>
      <name val="Calibri"/>
      <family val="2"/>
      <scheme val="minor"/>
    </font>
  </fonts>
  <fills count="26">
    <fill>
      <patternFill patternType="none"/>
    </fill>
    <fill>
      <patternFill patternType="gray125"/>
    </fill>
    <fill>
      <patternFill patternType="solid">
        <fgColor theme="0"/>
        <bgColor indexed="64"/>
      </patternFill>
    </fill>
    <fill>
      <patternFill patternType="solid">
        <fgColor indexed="29"/>
        <bgColor indexed="64"/>
      </patternFill>
    </fill>
    <fill>
      <patternFill patternType="solid">
        <fgColor rgb="FF4CC09A"/>
        <bgColor indexed="64"/>
      </patternFill>
    </fill>
    <fill>
      <patternFill patternType="solid">
        <fgColor rgb="FF6097D2"/>
        <bgColor indexed="64"/>
      </patternFill>
    </fill>
    <fill>
      <patternFill patternType="solid">
        <fgColor rgb="FFD8E5F4"/>
        <bgColor indexed="64"/>
      </patternFill>
    </fill>
    <fill>
      <patternFill patternType="solid">
        <fgColor rgb="FFC1D5ED"/>
        <bgColor indexed="64"/>
      </patternFill>
    </fill>
    <fill>
      <patternFill patternType="solid">
        <fgColor rgb="FFC7EBDF"/>
        <bgColor indexed="64"/>
      </patternFill>
    </fill>
    <fill>
      <patternFill patternType="solid">
        <fgColor rgb="FF9ABBE2"/>
        <bgColor indexed="64"/>
      </patternFill>
    </fill>
    <fill>
      <patternFill patternType="solid">
        <fgColor rgb="FF81AADB"/>
        <bgColor indexed="64"/>
      </patternFill>
    </fill>
    <fill>
      <patternFill patternType="solid">
        <fgColor rgb="FFCBEDE2"/>
        <bgColor indexed="64"/>
      </patternFill>
    </fill>
    <fill>
      <patternFill patternType="lightUp">
        <fgColor theme="0" tint="-0.34998626667073579"/>
        <bgColor theme="0"/>
      </patternFill>
    </fill>
    <fill>
      <patternFill patternType="lightUp">
        <fgColor theme="0" tint="-0.34998626667073579"/>
        <bgColor rgb="FFC1D5ED"/>
      </patternFill>
    </fill>
    <fill>
      <patternFill patternType="lightUp">
        <fgColor theme="0" tint="-0.34998626667073579"/>
        <bgColor rgb="FF6097D2"/>
      </patternFill>
    </fill>
    <fill>
      <patternFill patternType="lightUp">
        <fgColor theme="0" tint="-0.34998626667073579"/>
        <bgColor rgb="FF9ABBE2"/>
      </patternFill>
    </fill>
    <fill>
      <patternFill patternType="solid">
        <fgColor rgb="FFD1EFE5"/>
        <bgColor indexed="64"/>
      </patternFill>
    </fill>
    <fill>
      <patternFill patternType="solid">
        <fgColor rgb="FF80D2B7"/>
        <bgColor indexed="64"/>
      </patternFill>
    </fill>
    <fill>
      <patternFill patternType="lightUp">
        <fgColor theme="0" tint="-0.34998626667073579"/>
        <bgColor rgb="FF80D2B7"/>
      </patternFill>
    </fill>
    <fill>
      <patternFill patternType="solid">
        <fgColor rgb="FFFFFFFF"/>
        <bgColor indexed="64"/>
      </patternFill>
    </fill>
    <fill>
      <patternFill patternType="solid">
        <fgColor theme="4" tint="-0.249977111117893"/>
        <bgColor indexed="64"/>
      </patternFill>
    </fill>
    <fill>
      <patternFill patternType="lightUp">
        <fgColor theme="0" tint="-0.34998626667073579"/>
        <bgColor theme="4" tint="-0.249977111117893"/>
      </patternFill>
    </fill>
    <fill>
      <patternFill patternType="solid">
        <fgColor theme="4"/>
        <bgColor indexed="64"/>
      </patternFill>
    </fill>
    <fill>
      <patternFill patternType="lightGrid">
        <bgColor theme="0"/>
      </patternFill>
    </fill>
    <fill>
      <patternFill patternType="solid">
        <fgColor rgb="FFFFFF00"/>
        <bgColor indexed="64"/>
      </patternFill>
    </fill>
    <fill>
      <patternFill patternType="solid">
        <fgColor theme="1"/>
        <bgColor indexed="64"/>
      </patternFill>
    </fill>
  </fills>
  <borders count="71">
    <border>
      <left/>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thin">
        <color indexed="64"/>
      </right>
      <top style="medium">
        <color indexed="64"/>
      </top>
      <bottom style="medium">
        <color indexed="64"/>
      </bottom>
      <diagonal/>
    </border>
    <border>
      <left/>
      <right/>
      <top style="thin">
        <color auto="1"/>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right style="medium">
        <color indexed="64"/>
      </right>
      <top style="medium">
        <color indexed="64"/>
      </top>
      <bottom/>
      <diagonal/>
    </border>
    <border>
      <left style="thin">
        <color auto="1"/>
      </left>
      <right/>
      <top style="medium">
        <color indexed="64"/>
      </top>
      <bottom/>
      <diagonal/>
    </border>
    <border>
      <left/>
      <right style="thin">
        <color auto="1"/>
      </right>
      <top style="thin">
        <color auto="1"/>
      </top>
      <bottom/>
      <diagonal/>
    </border>
    <border>
      <left/>
      <right style="medium">
        <color auto="1"/>
      </right>
      <top/>
      <bottom/>
      <diagonal/>
    </border>
    <border>
      <left style="medium">
        <color indexed="64"/>
      </left>
      <right/>
      <top/>
      <bottom/>
      <diagonal/>
    </border>
    <border>
      <left style="thin">
        <color auto="1"/>
      </left>
      <right/>
      <top style="thin">
        <color auto="1"/>
      </top>
      <bottom/>
      <diagonal/>
    </border>
    <border>
      <left style="thin">
        <color theme="0"/>
      </left>
      <right/>
      <top style="thin">
        <color auto="1"/>
      </top>
      <bottom/>
      <diagonal/>
    </border>
    <border>
      <left style="thin">
        <color theme="0"/>
      </left>
      <right style="thin">
        <color theme="0"/>
      </right>
      <top style="thin">
        <color auto="1"/>
      </top>
      <bottom/>
      <diagonal/>
    </border>
    <border>
      <left/>
      <right style="thin">
        <color theme="0"/>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auto="1"/>
      </left>
      <right style="thin">
        <color auto="1"/>
      </right>
      <top style="thin">
        <color auto="1"/>
      </top>
      <bottom style="medium">
        <color auto="1"/>
      </bottom>
      <diagonal/>
    </border>
    <border>
      <left/>
      <right/>
      <top style="thin">
        <color indexed="64"/>
      </top>
      <bottom style="medium">
        <color indexed="64"/>
      </bottom>
      <diagonal/>
    </border>
    <border>
      <left style="thin">
        <color indexed="64"/>
      </left>
      <right style="thin">
        <color auto="1"/>
      </right>
      <top/>
      <bottom style="medium">
        <color auto="1"/>
      </bottom>
      <diagonal/>
    </border>
    <border>
      <left/>
      <right/>
      <top style="medium">
        <color indexed="16"/>
      </top>
      <bottom/>
      <diagonal/>
    </border>
    <border>
      <left/>
      <right style="thin">
        <color indexed="64"/>
      </right>
      <top/>
      <bottom style="thin">
        <color indexed="64"/>
      </bottom>
      <diagonal/>
    </border>
    <border>
      <left style="medium">
        <color auto="1"/>
      </left>
      <right style="medium">
        <color auto="1"/>
      </right>
      <top/>
      <bottom style="medium">
        <color auto="1"/>
      </bottom>
      <diagonal/>
    </border>
    <border>
      <left style="thin">
        <color theme="0"/>
      </left>
      <right style="thin">
        <color theme="0"/>
      </right>
      <top style="thin">
        <color theme="0"/>
      </top>
      <bottom style="thin">
        <color theme="0"/>
      </bottom>
      <diagonal/>
    </border>
    <border>
      <left style="medium">
        <color indexed="64"/>
      </left>
      <right style="medium">
        <color auto="1"/>
      </right>
      <top/>
      <bottom/>
      <diagonal/>
    </border>
    <border>
      <left style="thin">
        <color theme="0"/>
      </left>
      <right/>
      <top style="thin">
        <color theme="0"/>
      </top>
      <bottom style="thin">
        <color theme="0"/>
      </bottom>
      <diagonal/>
    </border>
    <border>
      <left/>
      <right/>
      <top style="medium">
        <color indexed="16"/>
      </top>
      <bottom/>
      <diagonal/>
    </border>
    <border>
      <left style="medium">
        <color auto="1"/>
      </left>
      <right style="thin">
        <color auto="1"/>
      </right>
      <top style="medium">
        <color auto="1"/>
      </top>
      <bottom/>
      <diagonal/>
    </border>
    <border>
      <left style="thin">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auto="1"/>
      </top>
      <bottom style="medium">
        <color indexed="64"/>
      </bottom>
      <diagonal/>
    </border>
    <border>
      <left style="thin">
        <color auto="1"/>
      </left>
      <right style="medium">
        <color auto="1"/>
      </right>
      <top/>
      <bottom style="thin">
        <color auto="1"/>
      </bottom>
      <diagonal/>
    </border>
    <border>
      <left style="thin">
        <color indexed="64"/>
      </left>
      <right/>
      <top style="medium">
        <color indexed="64"/>
      </top>
      <bottom style="medium">
        <color indexed="64"/>
      </bottom>
      <diagonal/>
    </border>
    <border>
      <left/>
      <right style="thin">
        <color auto="1"/>
      </right>
      <top style="medium">
        <color auto="1"/>
      </top>
      <bottom/>
      <diagonal/>
    </border>
    <border>
      <left style="medium">
        <color indexed="64"/>
      </left>
      <right style="medium">
        <color indexed="64"/>
      </right>
      <top style="medium">
        <color indexed="64"/>
      </top>
      <bottom/>
      <diagonal/>
    </border>
    <border>
      <left style="thin">
        <color auto="1"/>
      </left>
      <right/>
      <top style="thin">
        <color auto="1"/>
      </top>
      <bottom style="medium">
        <color indexed="64"/>
      </bottom>
      <diagonal/>
    </border>
    <border>
      <left style="medium">
        <color auto="1"/>
      </left>
      <right style="thin">
        <color auto="1"/>
      </right>
      <top/>
      <bottom/>
      <diagonal/>
    </border>
    <border>
      <left style="thin">
        <color indexed="64"/>
      </left>
      <right style="thin">
        <color indexed="64"/>
      </right>
      <top style="medium">
        <color indexed="64"/>
      </top>
      <bottom style="thin">
        <color indexed="64"/>
      </bottom>
      <diagonal/>
    </border>
    <border>
      <left/>
      <right style="thin">
        <color auto="1"/>
      </right>
      <top style="thin">
        <color auto="1"/>
      </top>
      <bottom style="medium">
        <color indexed="64"/>
      </bottom>
      <diagonal/>
    </border>
    <border>
      <left/>
      <right/>
      <top style="thin">
        <color theme="0"/>
      </top>
      <bottom/>
      <diagonal/>
    </border>
    <border>
      <left style="thin">
        <color indexed="64"/>
      </left>
      <right/>
      <top/>
      <bottom style="medium">
        <color auto="1"/>
      </bottom>
      <diagonal/>
    </border>
    <border>
      <left style="thin">
        <color indexed="64"/>
      </left>
      <right style="thin">
        <color indexed="64"/>
      </right>
      <top style="medium">
        <color indexed="64"/>
      </top>
      <bottom/>
      <diagonal/>
    </border>
    <border>
      <left style="thin">
        <color theme="0"/>
      </left>
      <right style="thin">
        <color indexed="64"/>
      </right>
      <top style="thin">
        <color auto="1"/>
      </top>
      <bottom/>
      <diagonal/>
    </border>
    <border>
      <left/>
      <right style="thin">
        <color auto="1"/>
      </right>
      <top/>
      <bottom style="medium">
        <color auto="1"/>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bottom style="thin">
        <color theme="0"/>
      </bottom>
      <diagonal/>
    </border>
    <border>
      <left style="medium">
        <color indexed="64"/>
      </left>
      <right style="medium">
        <color auto="1"/>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7">
    <xf numFmtId="0" fontId="0" fillId="0" borderId="0"/>
    <xf numFmtId="164" fontId="3" fillId="0" borderId="0">
      <alignment vertical="top"/>
    </xf>
    <xf numFmtId="0" fontId="4" fillId="0" borderId="0">
      <alignment horizontal="center" vertical="center"/>
    </xf>
    <xf numFmtId="166" fontId="5" fillId="0" borderId="0" applyFont="0" applyFill="0" applyBorder="0" applyProtection="0">
      <alignment horizontal="right" vertical="top"/>
    </xf>
    <xf numFmtId="0" fontId="6" fillId="0" borderId="0"/>
    <xf numFmtId="43" fontId="3" fillId="0" borderId="0" applyFont="0" applyFill="0" applyBorder="0" applyAlignment="0" applyProtection="0"/>
    <xf numFmtId="0" fontId="7" fillId="0" borderId="0"/>
    <xf numFmtId="164" fontId="3" fillId="3" borderId="0" applyFont="0" applyBorder="0" applyAlignment="0">
      <alignment vertical="top"/>
      <protection locked="0"/>
    </xf>
    <xf numFmtId="169" fontId="8" fillId="0" borderId="14" applyNumberFormat="0" applyFill="0" applyBorder="0" applyAlignment="0" applyProtection="0">
      <alignment wrapText="1"/>
    </xf>
    <xf numFmtId="169" fontId="9" fillId="0" borderId="35" applyFill="0" applyBorder="0" applyAlignment="0">
      <alignment vertical="top"/>
    </xf>
    <xf numFmtId="0" fontId="10" fillId="0" borderId="0" applyNumberFormat="0" applyBorder="0" applyAlignment="0" applyProtection="0">
      <alignment vertical="top"/>
      <protection locked="0"/>
    </xf>
    <xf numFmtId="0" fontId="1" fillId="0" borderId="0"/>
    <xf numFmtId="9" fontId="12" fillId="0" borderId="0" applyFont="0" applyFill="0" applyBorder="0" applyAlignment="0" applyProtection="0"/>
    <xf numFmtId="169" fontId="9" fillId="0" borderId="41" applyFill="0" applyBorder="0" applyAlignment="0">
      <alignment vertical="top"/>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799">
    <xf numFmtId="0" fontId="0" fillId="0" borderId="0" xfId="0"/>
    <xf numFmtId="0" fontId="11" fillId="2" borderId="0" xfId="0" applyFont="1" applyFill="1" applyProtection="1">
      <protection locked="0"/>
    </xf>
    <xf numFmtId="0" fontId="0" fillId="0" borderId="38" xfId="0" applyBorder="1"/>
    <xf numFmtId="0" fontId="0" fillId="2" borderId="38" xfId="0" applyFill="1" applyBorder="1"/>
    <xf numFmtId="164" fontId="17" fillId="2" borderId="0" xfId="1" applyFont="1" applyFill="1" applyAlignment="1">
      <alignment vertical="top" wrapText="1"/>
    </xf>
    <xf numFmtId="164" fontId="17" fillId="2" borderId="0" xfId="1" applyFont="1" applyFill="1">
      <alignment vertical="top"/>
    </xf>
    <xf numFmtId="0" fontId="18" fillId="5" borderId="3" xfId="0" applyFont="1" applyFill="1" applyBorder="1" applyAlignment="1">
      <alignment horizontal="center" vertical="center" wrapText="1"/>
    </xf>
    <xf numFmtId="164" fontId="20" fillId="2" borderId="0" xfId="1" applyFont="1" applyFill="1" applyAlignment="1">
      <alignment horizontal="center" vertical="top" wrapText="1"/>
    </xf>
    <xf numFmtId="0" fontId="11" fillId="2" borderId="0" xfId="0" applyFont="1" applyFill="1"/>
    <xf numFmtId="0" fontId="11" fillId="2" borderId="0" xfId="2" applyFont="1" applyFill="1">
      <alignment horizontal="center" vertical="center"/>
    </xf>
    <xf numFmtId="0" fontId="11" fillId="2" borderId="0" xfId="2" applyFont="1" applyFill="1" applyAlignment="1">
      <alignment horizontal="left" vertical="center" wrapText="1"/>
    </xf>
    <xf numFmtId="0" fontId="19" fillId="2" borderId="0" xfId="2" applyFont="1" applyFill="1" applyProtection="1">
      <alignment horizontal="center" vertical="center"/>
      <protection locked="0"/>
    </xf>
    <xf numFmtId="0" fontId="19" fillId="2" borderId="0" xfId="0" applyFont="1" applyFill="1" applyProtection="1">
      <protection locked="0"/>
    </xf>
    <xf numFmtId="0" fontId="21" fillId="2" borderId="0" xfId="2" applyFont="1" applyFill="1" applyAlignment="1">
      <alignment horizontal="left" vertical="center" wrapText="1"/>
    </xf>
    <xf numFmtId="0" fontId="11" fillId="2" borderId="0" xfId="2" applyFont="1" applyFill="1" applyProtection="1">
      <alignment horizontal="center" vertical="center"/>
      <protection locked="0"/>
    </xf>
    <xf numFmtId="0" fontId="13" fillId="2" borderId="0" xfId="2" applyFont="1" applyFill="1" applyAlignment="1">
      <alignment horizontal="center" vertical="center" wrapText="1"/>
    </xf>
    <xf numFmtId="0" fontId="13" fillId="2" borderId="0" xfId="0" applyFont="1" applyFill="1" applyAlignment="1" applyProtection="1">
      <alignment vertical="center"/>
      <protection locked="0"/>
    </xf>
    <xf numFmtId="0" fontId="13" fillId="2" borderId="0" xfId="0" applyFont="1" applyFill="1"/>
    <xf numFmtId="0" fontId="13" fillId="2" borderId="0" xfId="0" applyFont="1" applyFill="1" applyProtection="1">
      <protection locked="0"/>
    </xf>
    <xf numFmtId="4" fontId="13" fillId="2" borderId="28" xfId="2" applyNumberFormat="1" applyFont="1" applyFill="1" applyBorder="1" applyProtection="1">
      <alignment horizontal="center" vertical="center"/>
      <protection locked="0"/>
    </xf>
    <xf numFmtId="3" fontId="11" fillId="2" borderId="6" xfId="4" applyNumberFormat="1" applyFont="1" applyFill="1" applyBorder="1" applyAlignment="1" applyProtection="1">
      <alignment horizontal="right" vertical="center" indent="1"/>
      <protection locked="0"/>
    </xf>
    <xf numFmtId="0" fontId="11" fillId="2" borderId="0" xfId="2" applyFont="1" applyFill="1" applyAlignment="1" applyProtection="1">
      <alignment horizontal="left" vertical="center" wrapText="1"/>
      <protection locked="0"/>
    </xf>
    <xf numFmtId="0" fontId="13" fillId="2" borderId="9" xfId="2" applyFont="1" applyFill="1" applyBorder="1" applyAlignment="1">
      <alignment horizontal="left" vertical="center"/>
    </xf>
    <xf numFmtId="0" fontId="13" fillId="2" borderId="8" xfId="2" applyFont="1" applyFill="1" applyBorder="1" applyAlignment="1">
      <alignment horizontal="left" vertical="center" wrapText="1"/>
    </xf>
    <xf numFmtId="0" fontId="11" fillId="2" borderId="6" xfId="2" applyFont="1" applyFill="1" applyBorder="1" applyAlignment="1">
      <alignment horizontal="left" vertical="center" wrapText="1"/>
    </xf>
    <xf numFmtId="3" fontId="11" fillId="2" borderId="6" xfId="2" applyNumberFormat="1" applyFont="1" applyFill="1" applyBorder="1" applyAlignment="1">
      <alignment horizontal="right" vertical="center" indent="1"/>
    </xf>
    <xf numFmtId="3" fontId="11" fillId="2" borderId="0" xfId="0" applyNumberFormat="1" applyFont="1" applyFill="1" applyProtection="1">
      <protection locked="0"/>
    </xf>
    <xf numFmtId="0" fontId="11" fillId="2" borderId="0" xfId="0" applyFont="1" applyFill="1" applyAlignment="1" applyProtection="1">
      <alignment wrapText="1"/>
      <protection locked="0"/>
    </xf>
    <xf numFmtId="0" fontId="13" fillId="2" borderId="6" xfId="2" applyFont="1" applyFill="1" applyBorder="1" applyAlignment="1">
      <alignment horizontal="left" vertical="center" wrapText="1"/>
    </xf>
    <xf numFmtId="0" fontId="11" fillId="2" borderId="6" xfId="2" applyFont="1" applyFill="1" applyBorder="1" applyAlignment="1" applyProtection="1">
      <alignment horizontal="left" vertical="center" wrapText="1"/>
      <protection locked="0"/>
    </xf>
    <xf numFmtId="3" fontId="11" fillId="2" borderId="6" xfId="2" applyNumberFormat="1" applyFont="1" applyFill="1" applyBorder="1" applyAlignment="1" applyProtection="1">
      <alignment horizontal="right" vertical="center" indent="1"/>
      <protection locked="0"/>
    </xf>
    <xf numFmtId="0" fontId="11" fillId="2" borderId="6" xfId="2" applyFont="1" applyFill="1" applyBorder="1" applyProtection="1">
      <alignment horizontal="center" vertical="center"/>
      <protection locked="0"/>
    </xf>
    <xf numFmtId="0" fontId="11" fillId="2" borderId="0" xfId="0" applyFont="1" applyFill="1" applyAlignment="1" applyProtection="1">
      <alignment vertical="center"/>
      <protection locked="0"/>
    </xf>
    <xf numFmtId="3" fontId="11" fillId="2" borderId="0" xfId="2" applyNumberFormat="1" applyFont="1" applyFill="1" applyProtection="1">
      <alignment horizontal="center" vertical="center"/>
      <protection locked="0"/>
    </xf>
    <xf numFmtId="0" fontId="11" fillId="2" borderId="0" xfId="2" applyFont="1" applyFill="1" applyAlignment="1">
      <alignment vertical="center"/>
    </xf>
    <xf numFmtId="0" fontId="13" fillId="2" borderId="0" xfId="0" applyFont="1" applyFill="1" applyAlignment="1">
      <alignment horizontal="center" vertical="center"/>
    </xf>
    <xf numFmtId="0" fontId="11" fillId="2" borderId="0" xfId="0" applyFont="1" applyFill="1" applyAlignment="1" applyProtection="1">
      <alignment horizontal="center" vertical="center"/>
      <protection locked="0"/>
    </xf>
    <xf numFmtId="0" fontId="11" fillId="2" borderId="6" xfId="6" applyFont="1" applyFill="1" applyBorder="1" applyAlignment="1">
      <alignment horizontal="left" vertical="center" wrapText="1"/>
    </xf>
    <xf numFmtId="0" fontId="13" fillId="2" borderId="0" xfId="2" applyFont="1" applyFill="1" applyProtection="1">
      <alignment horizontal="center" vertical="center"/>
      <protection locked="0"/>
    </xf>
    <xf numFmtId="3" fontId="11" fillId="2" borderId="0" xfId="0" applyNumberFormat="1" applyFont="1" applyFill="1" applyAlignment="1" applyProtection="1">
      <alignment vertical="center"/>
      <protection locked="0"/>
    </xf>
    <xf numFmtId="0" fontId="11" fillId="2" borderId="0" xfId="2" applyFont="1" applyFill="1" applyAlignment="1">
      <alignment horizontal="left" vertical="center"/>
    </xf>
    <xf numFmtId="0" fontId="11" fillId="2" borderId="6" xfId="2" applyFont="1" applyFill="1" applyBorder="1" applyAlignment="1">
      <alignment horizontal="left" vertical="center" wrapText="1" indent="1"/>
    </xf>
    <xf numFmtId="10" fontId="11" fillId="2" borderId="0" xfId="16" applyNumberFormat="1" applyFont="1" applyFill="1" applyAlignment="1" applyProtection="1">
      <alignment horizontal="center" vertical="center"/>
      <protection locked="0"/>
    </xf>
    <xf numFmtId="0" fontId="14" fillId="2" borderId="0" xfId="2" applyFont="1" applyFill="1" applyAlignment="1" applyProtection="1">
      <alignment horizontal="left" vertical="center" wrapText="1"/>
      <protection locked="0"/>
    </xf>
    <xf numFmtId="165" fontId="11" fillId="2" borderId="6" xfId="2" applyNumberFormat="1" applyFont="1" applyFill="1" applyBorder="1" applyProtection="1">
      <alignment horizontal="center" vertical="center"/>
      <protection locked="0"/>
    </xf>
    <xf numFmtId="0" fontId="11" fillId="2" borderId="9" xfId="2" applyFont="1" applyFill="1" applyBorder="1" applyAlignment="1">
      <alignment horizontal="left" vertical="center" wrapText="1"/>
    </xf>
    <xf numFmtId="0" fontId="11" fillId="2" borderId="9" xfId="2" applyFont="1" applyFill="1" applyBorder="1" applyAlignment="1">
      <alignment horizontal="left" vertical="center" wrapText="1" indent="1"/>
    </xf>
    <xf numFmtId="0" fontId="13" fillId="2" borderId="9" xfId="2" applyFont="1" applyFill="1" applyBorder="1" applyAlignment="1">
      <alignment horizontal="left" vertical="center" wrapText="1"/>
    </xf>
    <xf numFmtId="0" fontId="11" fillId="2" borderId="9" xfId="2" applyFont="1" applyFill="1" applyBorder="1" applyAlignment="1" applyProtection="1">
      <alignment horizontal="left" vertical="center" wrapText="1"/>
      <protection locked="0"/>
    </xf>
    <xf numFmtId="0" fontId="11" fillId="2" borderId="9" xfId="0" applyFont="1" applyFill="1" applyBorder="1" applyAlignment="1" applyProtection="1">
      <alignment horizontal="left" vertical="center" wrapText="1"/>
      <protection locked="0"/>
    </xf>
    <xf numFmtId="0" fontId="13" fillId="2" borderId="0" xfId="2" applyFont="1" applyFill="1" applyAlignment="1">
      <alignment horizontal="left" vertical="center"/>
    </xf>
    <xf numFmtId="0" fontId="13" fillId="2" borderId="0" xfId="2" applyFont="1" applyFill="1" applyAlignment="1">
      <alignment horizontal="left" vertical="center" wrapText="1"/>
    </xf>
    <xf numFmtId="4" fontId="11" fillId="2" borderId="28" xfId="2" applyNumberFormat="1" applyFont="1" applyFill="1" applyBorder="1" applyProtection="1">
      <alignment horizontal="center" vertical="center"/>
      <protection locked="0"/>
    </xf>
    <xf numFmtId="3" fontId="11" fillId="2" borderId="6" xfId="4" applyNumberFormat="1" applyFont="1" applyFill="1" applyBorder="1" applyAlignment="1" applyProtection="1">
      <alignment horizontal="center" vertical="center"/>
      <protection locked="0"/>
    </xf>
    <xf numFmtId="0" fontId="11" fillId="2" borderId="0" xfId="2" applyFont="1" applyFill="1" applyAlignment="1" applyProtection="1">
      <alignment horizontal="center" vertical="center" wrapText="1"/>
      <protection locked="0"/>
    </xf>
    <xf numFmtId="0" fontId="13" fillId="2" borderId="8" xfId="2" applyFont="1" applyFill="1" applyBorder="1" applyAlignment="1">
      <alignment horizontal="center" vertical="center" wrapText="1"/>
    </xf>
    <xf numFmtId="0" fontId="13" fillId="2" borderId="7" xfId="2" applyFont="1" applyFill="1" applyBorder="1" applyAlignment="1">
      <alignment horizontal="center" vertical="center" wrapText="1"/>
    </xf>
    <xf numFmtId="3" fontId="11" fillId="2" borderId="6" xfId="2" applyNumberFormat="1" applyFont="1" applyFill="1" applyBorder="1">
      <alignment horizontal="center" vertical="center"/>
    </xf>
    <xf numFmtId="0" fontId="11" fillId="2" borderId="6" xfId="2" applyFont="1" applyFill="1" applyBorder="1" applyAlignment="1" applyProtection="1">
      <alignment horizontal="center" vertical="center" wrapText="1"/>
      <protection locked="0"/>
    </xf>
    <xf numFmtId="3" fontId="11" fillId="2" borderId="6" xfId="0" applyNumberFormat="1" applyFont="1" applyFill="1" applyBorder="1" applyAlignment="1">
      <alignment horizontal="center" vertical="center"/>
    </xf>
    <xf numFmtId="0" fontId="11" fillId="2" borderId="6" xfId="2" applyFont="1" applyFill="1" applyBorder="1" applyAlignment="1">
      <alignment horizontal="center" vertical="center" wrapText="1"/>
    </xf>
    <xf numFmtId="0" fontId="13" fillId="2" borderId="6" xfId="2" applyFont="1" applyFill="1" applyBorder="1" applyAlignment="1">
      <alignment horizontal="center" vertical="center" wrapText="1"/>
    </xf>
    <xf numFmtId="3" fontId="11" fillId="2" borderId="8" xfId="2" applyNumberFormat="1" applyFont="1" applyFill="1" applyBorder="1">
      <alignment horizontal="center" vertical="center"/>
    </xf>
    <xf numFmtId="3" fontId="11" fillId="2" borderId="9" xfId="2" applyNumberFormat="1" applyFont="1" applyFill="1" applyBorder="1">
      <alignment horizontal="center" vertical="center"/>
    </xf>
    <xf numFmtId="3" fontId="11" fillId="2" borderId="7"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0" fontId="13" fillId="4" borderId="6" xfId="2" applyFont="1" applyFill="1" applyBorder="1" applyAlignment="1">
      <alignment horizontal="center" vertical="center" wrapText="1"/>
    </xf>
    <xf numFmtId="0" fontId="13" fillId="5" borderId="8" xfId="2" applyFont="1" applyFill="1" applyBorder="1">
      <alignment horizontal="center" vertical="center"/>
    </xf>
    <xf numFmtId="0" fontId="13" fillId="5" borderId="6" xfId="2" applyFont="1" applyFill="1" applyBorder="1" applyAlignment="1">
      <alignment horizontal="center" vertical="center" wrapText="1"/>
    </xf>
    <xf numFmtId="0" fontId="13" fillId="7" borderId="8" xfId="2" applyFont="1" applyFill="1" applyBorder="1">
      <alignment horizontal="center" vertical="center"/>
    </xf>
    <xf numFmtId="3" fontId="11" fillId="7" borderId="6" xfId="2" applyNumberFormat="1" applyFont="1" applyFill="1" applyBorder="1">
      <alignment horizontal="center" vertical="center"/>
    </xf>
    <xf numFmtId="3" fontId="11" fillId="7" borderId="6" xfId="4" applyNumberFormat="1" applyFont="1" applyFill="1" applyBorder="1" applyAlignment="1" applyProtection="1">
      <alignment horizontal="center" vertical="center"/>
      <protection locked="0"/>
    </xf>
    <xf numFmtId="3" fontId="11" fillId="7" borderId="6" xfId="0" applyNumberFormat="1" applyFont="1" applyFill="1" applyBorder="1" applyAlignment="1">
      <alignment horizontal="center" vertical="center"/>
    </xf>
    <xf numFmtId="0" fontId="11" fillId="7" borderId="6" xfId="2" applyFont="1" applyFill="1" applyBorder="1" applyAlignment="1">
      <alignment horizontal="center" vertical="center" wrapText="1"/>
    </xf>
    <xf numFmtId="0" fontId="11" fillId="7" borderId="6" xfId="6" applyFont="1" applyFill="1" applyBorder="1" applyAlignment="1">
      <alignment horizontal="center" vertical="center" wrapText="1"/>
    </xf>
    <xf numFmtId="0" fontId="13" fillId="7" borderId="6" xfId="2" applyFont="1" applyFill="1" applyBorder="1" applyAlignment="1">
      <alignment horizontal="center" vertical="center" wrapText="1"/>
    </xf>
    <xf numFmtId="165" fontId="11" fillId="7" borderId="6" xfId="2" applyNumberFormat="1" applyFont="1" applyFill="1" applyBorder="1" applyProtection="1">
      <alignment horizontal="center" vertical="center"/>
      <protection locked="0"/>
    </xf>
    <xf numFmtId="0" fontId="13" fillId="7" borderId="9" xfId="2" applyFont="1" applyFill="1" applyBorder="1" applyAlignment="1">
      <alignment horizontal="center" vertical="center" wrapText="1"/>
    </xf>
    <xf numFmtId="0" fontId="13" fillId="9" borderId="8" xfId="2" applyFont="1" applyFill="1" applyBorder="1" applyAlignment="1">
      <alignment horizontal="center" vertical="center" wrapText="1"/>
    </xf>
    <xf numFmtId="3" fontId="11" fillId="9" borderId="6" xfId="2" applyNumberFormat="1" applyFont="1" applyFill="1" applyBorder="1">
      <alignment horizontal="center" vertical="center"/>
    </xf>
    <xf numFmtId="3" fontId="11" fillId="9" borderId="6" xfId="4" applyNumberFormat="1" applyFont="1" applyFill="1" applyBorder="1" applyAlignment="1" applyProtection="1">
      <alignment horizontal="center" vertical="center"/>
      <protection locked="0"/>
    </xf>
    <xf numFmtId="3" fontId="11" fillId="9" borderId="6" xfId="0" applyNumberFormat="1" applyFont="1" applyFill="1" applyBorder="1" applyAlignment="1">
      <alignment horizontal="center" vertical="center"/>
    </xf>
    <xf numFmtId="0" fontId="11" fillId="9" borderId="6" xfId="2" applyFont="1" applyFill="1" applyBorder="1" applyProtection="1">
      <alignment horizontal="center" vertical="center"/>
      <protection locked="0"/>
    </xf>
    <xf numFmtId="165" fontId="11" fillId="9" borderId="6" xfId="2" applyNumberFormat="1" applyFont="1" applyFill="1" applyBorder="1" applyProtection="1">
      <alignment horizontal="center" vertical="center"/>
      <protection locked="0"/>
    </xf>
    <xf numFmtId="0" fontId="13" fillId="10" borderId="8" xfId="2" applyFont="1" applyFill="1" applyBorder="1" applyAlignment="1">
      <alignment horizontal="center" vertical="center" wrapText="1"/>
    </xf>
    <xf numFmtId="3" fontId="11" fillId="10" borderId="6" xfId="2" applyNumberFormat="1" applyFont="1" applyFill="1" applyBorder="1">
      <alignment horizontal="center" vertical="center"/>
    </xf>
    <xf numFmtId="3" fontId="11" fillId="10" borderId="6" xfId="4" applyNumberFormat="1" applyFont="1" applyFill="1" applyBorder="1" applyAlignment="1" applyProtection="1">
      <alignment horizontal="center" vertical="center"/>
      <protection locked="0"/>
    </xf>
    <xf numFmtId="3" fontId="11" fillId="10" borderId="6" xfId="0" applyNumberFormat="1" applyFont="1" applyFill="1" applyBorder="1" applyAlignment="1">
      <alignment horizontal="center" vertical="center"/>
    </xf>
    <xf numFmtId="0" fontId="11" fillId="10" borderId="6" xfId="2" applyFont="1" applyFill="1" applyBorder="1" applyProtection="1">
      <alignment horizontal="center" vertical="center"/>
      <protection locked="0"/>
    </xf>
    <xf numFmtId="165" fontId="11" fillId="10" borderId="6" xfId="2" applyNumberFormat="1" applyFont="1" applyFill="1" applyBorder="1" applyProtection="1">
      <alignment horizontal="center" vertical="center"/>
      <protection locked="0"/>
    </xf>
    <xf numFmtId="0" fontId="13" fillId="5" borderId="8" xfId="2" applyFont="1" applyFill="1" applyBorder="1" applyAlignment="1">
      <alignment horizontal="center" vertical="center" wrapText="1"/>
    </xf>
    <xf numFmtId="0" fontId="13" fillId="5" borderId="7" xfId="2" applyFont="1" applyFill="1" applyBorder="1" applyAlignment="1">
      <alignment horizontal="center" vertical="center" wrapText="1"/>
    </xf>
    <xf numFmtId="0" fontId="13" fillId="7" borderId="6" xfId="2" applyFont="1" applyFill="1" applyBorder="1" applyAlignment="1">
      <alignment horizontal="left" vertical="center" wrapText="1"/>
    </xf>
    <xf numFmtId="0" fontId="13" fillId="11" borderId="6" xfId="2" applyFont="1" applyFill="1" applyBorder="1" applyAlignment="1">
      <alignment horizontal="left" vertical="center" wrapText="1"/>
    </xf>
    <xf numFmtId="3" fontId="11" fillId="11" borderId="6" xfId="2" applyNumberFormat="1" applyFont="1" applyFill="1" applyBorder="1">
      <alignment horizontal="center" vertical="center"/>
    </xf>
    <xf numFmtId="0" fontId="13" fillId="9" borderId="8" xfId="2" applyFont="1" applyFill="1" applyBorder="1">
      <alignment horizontal="center" vertical="center"/>
    </xf>
    <xf numFmtId="0" fontId="13" fillId="9" borderId="7" xfId="2" applyFont="1" applyFill="1" applyBorder="1" applyAlignment="1">
      <alignment horizontal="center" vertical="center" wrapText="1"/>
    </xf>
    <xf numFmtId="0" fontId="11" fillId="7" borderId="9" xfId="0" applyFont="1" applyFill="1" applyBorder="1" applyAlignment="1">
      <alignment vertical="center" wrapText="1"/>
    </xf>
    <xf numFmtId="165" fontId="11" fillId="2" borderId="8" xfId="14" applyNumberFormat="1" applyFont="1" applyFill="1" applyBorder="1" applyAlignment="1">
      <alignment horizontal="center" vertical="center"/>
    </xf>
    <xf numFmtId="0" fontId="11" fillId="2" borderId="8" xfId="6" applyFont="1" applyFill="1" applyBorder="1" applyAlignment="1">
      <alignment horizontal="center" vertical="center" wrapText="1"/>
    </xf>
    <xf numFmtId="0" fontId="11" fillId="2" borderId="8" xfId="6" applyFont="1" applyFill="1" applyBorder="1" applyAlignment="1">
      <alignment horizontal="left" vertical="center" wrapText="1"/>
    </xf>
    <xf numFmtId="3" fontId="11" fillId="9" borderId="7" xfId="2" applyNumberFormat="1" applyFont="1" applyFill="1" applyBorder="1">
      <alignment horizontal="center" vertical="center"/>
    </xf>
    <xf numFmtId="3" fontId="11" fillId="9" borderId="7" xfId="4" applyNumberFormat="1" applyFont="1" applyFill="1" applyBorder="1" applyAlignment="1" applyProtection="1">
      <alignment horizontal="center" vertical="center"/>
      <protection locked="0"/>
    </xf>
    <xf numFmtId="0" fontId="13" fillId="5" borderId="12" xfId="2" applyFont="1" applyFill="1" applyBorder="1">
      <alignment horizontal="center" vertical="center"/>
    </xf>
    <xf numFmtId="0" fontId="22" fillId="2" borderId="0" xfId="0" applyFont="1" applyFill="1"/>
    <xf numFmtId="3" fontId="11" fillId="2" borderId="7" xfId="0" applyNumberFormat="1" applyFont="1" applyFill="1" applyBorder="1" applyAlignment="1" applyProtection="1">
      <alignment horizontal="right" vertical="center" indent="1"/>
      <protection locked="0"/>
    </xf>
    <xf numFmtId="3" fontId="11" fillId="2" borderId="9" xfId="0" applyNumberFormat="1" applyFont="1" applyFill="1" applyBorder="1" applyAlignment="1" applyProtection="1">
      <alignment horizontal="right" vertical="center" indent="1"/>
      <protection locked="0"/>
    </xf>
    <xf numFmtId="3" fontId="11" fillId="2" borderId="8" xfId="0" applyNumberFormat="1" applyFont="1" applyFill="1" applyBorder="1" applyAlignment="1" applyProtection="1">
      <alignment horizontal="right" vertical="center" indent="1"/>
      <protection locked="0"/>
    </xf>
    <xf numFmtId="0" fontId="21" fillId="2" borderId="0" xfId="2" applyFont="1" applyFill="1" applyAlignment="1">
      <alignment horizontal="left" vertical="center"/>
    </xf>
    <xf numFmtId="0" fontId="11" fillId="2" borderId="0" xfId="2" applyFont="1" applyFill="1" applyAlignment="1" applyProtection="1">
      <alignment horizontal="left" vertical="center"/>
      <protection locked="0"/>
    </xf>
    <xf numFmtId="0" fontId="21" fillId="2" borderId="0" xfId="2" applyFont="1" applyFill="1">
      <alignment horizontal="center" vertical="center"/>
    </xf>
    <xf numFmtId="0" fontId="11" fillId="2" borderId="33" xfId="2" applyFont="1" applyFill="1" applyBorder="1" applyAlignment="1" applyProtection="1">
      <alignment horizontal="left" vertical="center" wrapText="1"/>
      <protection locked="0"/>
    </xf>
    <xf numFmtId="165" fontId="13" fillId="2" borderId="32" xfId="4" applyNumberFormat="1" applyFont="1" applyFill="1" applyBorder="1" applyAlignment="1" applyProtection="1">
      <alignment horizontal="center" vertical="center" shrinkToFit="1"/>
      <protection locked="0"/>
    </xf>
    <xf numFmtId="165" fontId="11" fillId="2" borderId="52" xfId="4" applyNumberFormat="1" applyFont="1" applyFill="1" applyBorder="1" applyAlignment="1" applyProtection="1">
      <alignment horizontal="right" vertical="center" shrinkToFit="1"/>
      <protection locked="0"/>
    </xf>
    <xf numFmtId="0" fontId="13" fillId="2" borderId="0" xfId="0" applyFont="1" applyFill="1" applyAlignment="1" applyProtection="1">
      <alignment horizontal="left" vertical="center"/>
      <protection locked="0"/>
    </xf>
    <xf numFmtId="0" fontId="22" fillId="2" borderId="0" xfId="0" applyFont="1" applyFill="1" applyAlignment="1">
      <alignment horizontal="center"/>
    </xf>
    <xf numFmtId="3" fontId="11" fillId="7" borderId="6" xfId="4" applyNumberFormat="1" applyFont="1" applyFill="1" applyBorder="1" applyAlignment="1" applyProtection="1">
      <alignment horizontal="right" vertical="center" indent="1"/>
      <protection locked="0"/>
    </xf>
    <xf numFmtId="3" fontId="11" fillId="9" borderId="6" xfId="4" applyNumberFormat="1" applyFont="1" applyFill="1" applyBorder="1" applyAlignment="1" applyProtection="1">
      <alignment horizontal="right" vertical="center" indent="1"/>
      <protection locked="0"/>
    </xf>
    <xf numFmtId="3" fontId="11" fillId="5" borderId="6" xfId="4" applyNumberFormat="1" applyFont="1" applyFill="1" applyBorder="1" applyAlignment="1" applyProtection="1">
      <alignment horizontal="right" vertical="center" indent="1"/>
      <protection locked="0"/>
    </xf>
    <xf numFmtId="0" fontId="11" fillId="2" borderId="45" xfId="0" applyFont="1" applyFill="1" applyBorder="1" applyAlignment="1" applyProtection="1">
      <alignment horizontal="center"/>
      <protection locked="0"/>
    </xf>
    <xf numFmtId="0" fontId="11" fillId="2" borderId="6" xfId="0" applyFont="1" applyFill="1" applyBorder="1" applyAlignment="1">
      <alignment horizontal="left" vertical="center"/>
    </xf>
    <xf numFmtId="4" fontId="11" fillId="2" borderId="6" xfId="4" applyNumberFormat="1" applyFont="1" applyFill="1" applyBorder="1" applyAlignment="1" applyProtection="1">
      <alignment horizontal="right" vertical="center" indent="1"/>
      <protection locked="0"/>
    </xf>
    <xf numFmtId="0" fontId="11" fillId="2" borderId="17" xfId="2" applyFont="1" applyFill="1" applyBorder="1" applyAlignment="1">
      <alignment horizontal="left" vertical="center" wrapText="1"/>
    </xf>
    <xf numFmtId="3" fontId="11" fillId="7" borderId="17" xfId="4" applyNumberFormat="1" applyFont="1" applyFill="1" applyBorder="1" applyAlignment="1" applyProtection="1">
      <alignment horizontal="right" vertical="center" indent="1"/>
      <protection locked="0"/>
    </xf>
    <xf numFmtId="3" fontId="11" fillId="9" borderId="17" xfId="4" applyNumberFormat="1" applyFont="1" applyFill="1" applyBorder="1" applyAlignment="1" applyProtection="1">
      <alignment horizontal="right" vertical="center" indent="1"/>
      <protection locked="0"/>
    </xf>
    <xf numFmtId="3" fontId="11" fillId="5" borderId="17" xfId="4" applyNumberFormat="1" applyFont="1" applyFill="1" applyBorder="1" applyAlignment="1" applyProtection="1">
      <alignment horizontal="right" vertical="center" indent="1"/>
      <protection locked="0"/>
    </xf>
    <xf numFmtId="3" fontId="11" fillId="2" borderId="17" xfId="4" applyNumberFormat="1" applyFont="1" applyFill="1" applyBorder="1" applyAlignment="1" applyProtection="1">
      <alignment horizontal="right" vertical="center" indent="1"/>
      <protection locked="0"/>
    </xf>
    <xf numFmtId="4" fontId="11" fillId="2" borderId="17" xfId="4" applyNumberFormat="1" applyFont="1" applyFill="1" applyBorder="1" applyAlignment="1" applyProtection="1">
      <alignment horizontal="right" vertical="center" indent="1"/>
      <protection locked="0"/>
    </xf>
    <xf numFmtId="3" fontId="11" fillId="2" borderId="23" xfId="4" applyNumberFormat="1" applyFont="1" applyFill="1" applyBorder="1" applyAlignment="1">
      <alignment horizontal="right" vertical="center" indent="1"/>
    </xf>
    <xf numFmtId="0" fontId="11" fillId="2" borderId="8" xfId="2" applyFont="1" applyFill="1" applyBorder="1" applyAlignment="1" applyProtection="1">
      <alignment horizontal="left" vertical="center" wrapText="1"/>
      <protection locked="0"/>
    </xf>
    <xf numFmtId="3" fontId="11" fillId="2" borderId="8" xfId="4" applyNumberFormat="1" applyFont="1" applyFill="1" applyBorder="1" applyAlignment="1" applyProtection="1">
      <alignment horizontal="right" vertical="center" indent="1"/>
      <protection locked="0"/>
    </xf>
    <xf numFmtId="3" fontId="11" fillId="2" borderId="8" xfId="4" applyNumberFormat="1" applyFont="1" applyFill="1" applyBorder="1" applyAlignment="1">
      <alignment horizontal="right" vertical="center" indent="1"/>
    </xf>
    <xf numFmtId="0" fontId="21" fillId="2" borderId="0" xfId="0" applyFont="1" applyFill="1"/>
    <xf numFmtId="3" fontId="11" fillId="2" borderId="8" xfId="2" applyNumberFormat="1" applyFont="1" applyFill="1" applyBorder="1" applyAlignment="1" applyProtection="1">
      <alignment horizontal="right" vertical="center" indent="1"/>
      <protection locked="0"/>
    </xf>
    <xf numFmtId="3" fontId="11" fillId="7" borderId="6" xfId="4" applyNumberFormat="1" applyFont="1" applyFill="1" applyBorder="1" applyAlignment="1">
      <alignment horizontal="right" vertical="center" indent="1"/>
    </xf>
    <xf numFmtId="3" fontId="11" fillId="9" borderId="6" xfId="4" applyNumberFormat="1" applyFont="1" applyFill="1" applyBorder="1" applyAlignment="1">
      <alignment horizontal="right" vertical="center" indent="1"/>
    </xf>
    <xf numFmtId="3" fontId="11" fillId="5" borderId="6" xfId="4" applyNumberFormat="1" applyFont="1" applyFill="1" applyBorder="1" applyAlignment="1">
      <alignment horizontal="right" vertical="center" indent="1"/>
    </xf>
    <xf numFmtId="3" fontId="11" fillId="2" borderId="6" xfId="4" applyNumberFormat="1" applyFont="1" applyFill="1" applyBorder="1" applyAlignment="1">
      <alignment horizontal="right" vertical="center" indent="1"/>
    </xf>
    <xf numFmtId="0" fontId="11" fillId="2" borderId="28" xfId="0" applyFont="1" applyFill="1" applyBorder="1" applyAlignment="1">
      <alignment horizontal="left" vertical="center" wrapText="1"/>
    </xf>
    <xf numFmtId="3" fontId="11" fillId="5" borderId="30" xfId="4" applyNumberFormat="1" applyFont="1" applyFill="1" applyBorder="1" applyAlignment="1" applyProtection="1">
      <alignment horizontal="right" vertical="center" indent="1"/>
      <protection locked="0"/>
    </xf>
    <xf numFmtId="3" fontId="11" fillId="2" borderId="27" xfId="4" applyNumberFormat="1" applyFont="1" applyFill="1" applyBorder="1" applyAlignment="1" applyProtection="1">
      <alignment horizontal="right" vertical="center" indent="1"/>
      <protection locked="0"/>
    </xf>
    <xf numFmtId="0" fontId="21" fillId="2" borderId="0" xfId="2" applyFont="1" applyFill="1" applyAlignment="1">
      <alignment horizontal="center" vertical="center" wrapText="1"/>
    </xf>
    <xf numFmtId="0" fontId="11" fillId="2" borderId="23" xfId="0" applyFont="1" applyFill="1" applyBorder="1" applyAlignment="1">
      <alignment horizontal="left" vertical="center"/>
    </xf>
    <xf numFmtId="3" fontId="11" fillId="7" borderId="17" xfId="4" applyNumberFormat="1" applyFont="1" applyFill="1" applyBorder="1" applyAlignment="1">
      <alignment horizontal="right" vertical="center" indent="1"/>
    </xf>
    <xf numFmtId="3" fontId="11" fillId="9" borderId="17" xfId="4" applyNumberFormat="1" applyFont="1" applyFill="1" applyBorder="1" applyAlignment="1">
      <alignment horizontal="right" vertical="center" indent="1"/>
    </xf>
    <xf numFmtId="3" fontId="11" fillId="5" borderId="17" xfId="4" applyNumberFormat="1" applyFont="1" applyFill="1" applyBorder="1" applyAlignment="1">
      <alignment horizontal="right" vertical="center" indent="1"/>
    </xf>
    <xf numFmtId="3" fontId="11" fillId="2" borderId="17" xfId="4" applyNumberFormat="1" applyFont="1" applyFill="1" applyBorder="1" applyAlignment="1">
      <alignment horizontal="right" vertical="center" indent="1"/>
    </xf>
    <xf numFmtId="0" fontId="11" fillId="2" borderId="25" xfId="2" applyFont="1" applyFill="1" applyBorder="1" applyAlignment="1" applyProtection="1">
      <alignment horizontal="left" vertical="center" wrapText="1"/>
      <protection locked="0"/>
    </xf>
    <xf numFmtId="0" fontId="11" fillId="2" borderId="25" xfId="2" applyFont="1" applyFill="1" applyBorder="1" applyAlignment="1" applyProtection="1">
      <alignment horizontal="right" vertical="center" indent="1"/>
      <protection locked="0"/>
    </xf>
    <xf numFmtId="0" fontId="11" fillId="2" borderId="25" xfId="2" applyFont="1" applyFill="1" applyBorder="1" applyAlignment="1">
      <alignment horizontal="right" vertical="center" indent="1"/>
    </xf>
    <xf numFmtId="0" fontId="22" fillId="2" borderId="0" xfId="0" applyFont="1" applyFill="1" applyAlignment="1">
      <alignment vertical="center"/>
    </xf>
    <xf numFmtId="0" fontId="13" fillId="7" borderId="9" xfId="2" applyFont="1" applyFill="1" applyBorder="1" applyAlignment="1">
      <alignment horizontal="left" vertical="center" wrapText="1"/>
    </xf>
    <xf numFmtId="0" fontId="13" fillId="9" borderId="9" xfId="2" applyFont="1" applyFill="1" applyBorder="1" applyAlignment="1">
      <alignment horizontal="left" vertical="center" wrapText="1"/>
    </xf>
    <xf numFmtId="0" fontId="11" fillId="2" borderId="26" xfId="2" applyFont="1" applyFill="1" applyBorder="1" applyAlignment="1" applyProtection="1">
      <alignment horizontal="left" vertical="center" wrapText="1"/>
      <protection locked="0"/>
    </xf>
    <xf numFmtId="165" fontId="11" fillId="2" borderId="25" xfId="4" applyNumberFormat="1" applyFont="1" applyFill="1" applyBorder="1" applyAlignment="1" applyProtection="1">
      <alignment horizontal="right" vertical="center" indent="1"/>
      <protection locked="0"/>
    </xf>
    <xf numFmtId="0" fontId="11" fillId="2" borderId="28" xfId="2" applyFont="1" applyFill="1" applyBorder="1" applyAlignment="1">
      <alignment horizontal="left" vertical="center" wrapText="1"/>
    </xf>
    <xf numFmtId="3" fontId="11" fillId="5" borderId="28" xfId="4" applyNumberFormat="1" applyFont="1" applyFill="1" applyBorder="1" applyAlignment="1" applyProtection="1">
      <alignment horizontal="right" vertical="center" indent="1"/>
      <protection locked="0"/>
    </xf>
    <xf numFmtId="3" fontId="11" fillId="2" borderId="28" xfId="4" applyNumberFormat="1" applyFont="1" applyFill="1" applyBorder="1" applyAlignment="1" applyProtection="1">
      <alignment horizontal="right" vertical="center" indent="1"/>
      <protection locked="0"/>
    </xf>
    <xf numFmtId="4" fontId="11" fillId="2" borderId="28" xfId="4" applyNumberFormat="1" applyFont="1" applyFill="1" applyBorder="1" applyAlignment="1" applyProtection="1">
      <alignment horizontal="right" vertical="center" indent="1"/>
      <protection locked="0"/>
    </xf>
    <xf numFmtId="3" fontId="11" fillId="2" borderId="23" xfId="2" applyNumberFormat="1" applyFont="1" applyFill="1" applyBorder="1" applyAlignment="1">
      <alignment horizontal="right" vertical="center" indent="1"/>
    </xf>
    <xf numFmtId="0" fontId="11" fillId="2" borderId="6" xfId="0" applyFont="1" applyFill="1" applyBorder="1" applyAlignment="1">
      <alignment vertical="center"/>
    </xf>
    <xf numFmtId="3" fontId="11" fillId="2" borderId="0" xfId="2" applyNumberFormat="1" applyFont="1" applyFill="1" applyAlignment="1" applyProtection="1">
      <alignment horizontal="right" vertical="center" indent="1"/>
      <protection locked="0"/>
    </xf>
    <xf numFmtId="0" fontId="11" fillId="2" borderId="0" xfId="2" applyFont="1" applyFill="1" applyAlignment="1">
      <alignment horizontal="right" vertical="center" indent="1"/>
    </xf>
    <xf numFmtId="3" fontId="11" fillId="5" borderId="6" xfId="2" applyNumberFormat="1" applyFont="1" applyFill="1" applyBorder="1" applyAlignment="1" applyProtection="1">
      <alignment horizontal="right" vertical="center" indent="1"/>
      <protection locked="0"/>
    </xf>
    <xf numFmtId="0" fontId="11" fillId="2" borderId="8" xfId="0" applyFont="1" applyFill="1" applyBorder="1" applyAlignment="1" applyProtection="1">
      <alignment horizontal="left" vertical="center"/>
      <protection locked="0"/>
    </xf>
    <xf numFmtId="168" fontId="11" fillId="5" borderId="6" xfId="4" applyNumberFormat="1" applyFont="1" applyFill="1" applyBorder="1" applyAlignment="1" applyProtection="1">
      <alignment horizontal="right" vertical="center" indent="1"/>
      <protection locked="0"/>
    </xf>
    <xf numFmtId="168" fontId="11" fillId="2" borderId="6" xfId="4" applyNumberFormat="1" applyFont="1" applyFill="1" applyBorder="1" applyAlignment="1" applyProtection="1">
      <alignment horizontal="right" vertical="center" indent="1"/>
      <protection locked="0"/>
    </xf>
    <xf numFmtId="0" fontId="15" fillId="2" borderId="0" xfId="2" applyFont="1" applyFill="1" applyAlignment="1">
      <alignment horizontal="center" vertical="center" wrapText="1"/>
    </xf>
    <xf numFmtId="164" fontId="11" fillId="2" borderId="0" xfId="1" applyFont="1" applyFill="1" applyAlignment="1"/>
    <xf numFmtId="0" fontId="15" fillId="2" borderId="0" xfId="2" applyFont="1" applyFill="1" applyAlignment="1">
      <alignment horizontal="left" vertical="center"/>
    </xf>
    <xf numFmtId="0" fontId="1" fillId="2" borderId="0" xfId="2" applyFont="1" applyFill="1" applyAlignment="1"/>
    <xf numFmtId="0" fontId="24" fillId="2" borderId="0" xfId="2" applyFont="1" applyFill="1">
      <alignment horizontal="center" vertical="center"/>
    </xf>
    <xf numFmtId="0" fontId="2" fillId="2" borderId="0" xfId="0" applyFont="1" applyFill="1"/>
    <xf numFmtId="0" fontId="23" fillId="2" borderId="0" xfId="2" applyFont="1" applyFill="1" applyAlignment="1">
      <alignment horizontal="left" vertical="center"/>
    </xf>
    <xf numFmtId="0" fontId="1" fillId="2" borderId="0" xfId="2" applyFont="1" applyFill="1">
      <alignment horizontal="center" vertical="center"/>
    </xf>
    <xf numFmtId="164" fontId="1" fillId="2" borderId="0" xfId="1" applyFont="1" applyFill="1" applyAlignment="1"/>
    <xf numFmtId="0" fontId="2" fillId="2" borderId="0" xfId="2" applyFont="1" applyFill="1" applyProtection="1">
      <alignment horizontal="center" vertical="center"/>
      <protection locked="0"/>
    </xf>
    <xf numFmtId="164" fontId="2" fillId="2" borderId="0" xfId="1" applyFont="1" applyFill="1" applyAlignment="1" applyProtection="1">
      <protection locked="0"/>
    </xf>
    <xf numFmtId="0" fontId="2" fillId="2" borderId="0" xfId="2" applyFont="1" applyFill="1" applyAlignment="1">
      <alignment vertical="center"/>
    </xf>
    <xf numFmtId="0" fontId="1" fillId="2" borderId="0" xfId="2" applyFont="1" applyFill="1" applyProtection="1">
      <alignment horizontal="center" vertical="center"/>
      <protection locked="0"/>
    </xf>
    <xf numFmtId="0" fontId="2" fillId="2" borderId="0" xfId="0" applyFont="1" applyFill="1" applyProtection="1">
      <protection locked="0"/>
    </xf>
    <xf numFmtId="0" fontId="23" fillId="2" borderId="0" xfId="2" applyFont="1" applyFill="1" applyAlignment="1" applyProtection="1">
      <alignment horizontal="left" vertical="center"/>
      <protection locked="0"/>
    </xf>
    <xf numFmtId="164" fontId="11" fillId="2" borderId="0" xfId="1" applyFont="1" applyFill="1" applyAlignment="1" applyProtection="1">
      <protection locked="0"/>
    </xf>
    <xf numFmtId="4" fontId="11" fillId="2" borderId="0" xfId="1" applyNumberFormat="1" applyFont="1" applyFill="1" applyAlignment="1" applyProtection="1">
      <protection locked="0"/>
    </xf>
    <xf numFmtId="0" fontId="1" fillId="2" borderId="0" xfId="2" applyFont="1" applyFill="1" applyAlignment="1" applyProtection="1">
      <alignment vertical="center" wrapText="1"/>
      <protection locked="0"/>
    </xf>
    <xf numFmtId="0" fontId="1" fillId="2" borderId="6" xfId="2" applyFont="1" applyFill="1" applyBorder="1" applyAlignment="1"/>
    <xf numFmtId="3" fontId="1" fillId="2" borderId="6" xfId="2" applyNumberFormat="1" applyFont="1" applyFill="1" applyBorder="1" applyAlignment="1" applyProtection="1">
      <alignment horizontal="right" vertical="center" indent="1"/>
      <protection locked="0"/>
    </xf>
    <xf numFmtId="164" fontId="11" fillId="2" borderId="10" xfId="1" applyFont="1" applyFill="1" applyBorder="1" applyAlignment="1" applyProtection="1">
      <alignment horizontal="center"/>
      <protection locked="0"/>
    </xf>
    <xf numFmtId="3" fontId="1" fillId="2" borderId="6" xfId="2" applyNumberFormat="1" applyFont="1" applyFill="1" applyBorder="1" applyAlignment="1">
      <alignment horizontal="right" vertical="center" indent="1"/>
    </xf>
    <xf numFmtId="0" fontId="1" fillId="12" borderId="6" xfId="2" applyFont="1" applyFill="1" applyBorder="1" applyAlignment="1"/>
    <xf numFmtId="3" fontId="1" fillId="12" borderId="6" xfId="2" applyNumberFormat="1" applyFont="1" applyFill="1" applyBorder="1" applyAlignment="1">
      <alignment horizontal="right" vertical="center" indent="1"/>
    </xf>
    <xf numFmtId="164" fontId="1" fillId="2" borderId="6" xfId="1" applyFont="1" applyFill="1" applyBorder="1" applyAlignment="1"/>
    <xf numFmtId="0" fontId="25" fillId="2" borderId="0" xfId="2" applyFont="1" applyFill="1" applyAlignment="1" applyProtection="1">
      <protection locked="0"/>
    </xf>
    <xf numFmtId="165" fontId="1" fillId="2" borderId="0" xfId="2" applyNumberFormat="1" applyFont="1" applyFill="1" applyProtection="1">
      <alignment horizontal="center" vertical="center"/>
      <protection locked="0"/>
    </xf>
    <xf numFmtId="165" fontId="1" fillId="2" borderId="0" xfId="2" applyNumberFormat="1" applyFont="1" applyFill="1" applyAlignment="1">
      <alignment horizontal="right" vertical="center"/>
    </xf>
    <xf numFmtId="0" fontId="11" fillId="2" borderId="6" xfId="2" applyFont="1" applyFill="1" applyBorder="1" applyAlignment="1">
      <alignment wrapText="1"/>
    </xf>
    <xf numFmtId="0" fontId="1" fillId="2" borderId="0" xfId="2" applyFont="1" applyFill="1" applyAlignment="1" applyProtection="1">
      <protection locked="0"/>
    </xf>
    <xf numFmtId="0" fontId="11" fillId="2" borderId="6" xfId="2" applyFont="1" applyFill="1" applyBorder="1" applyAlignment="1"/>
    <xf numFmtId="0" fontId="1" fillId="2" borderId="6" xfId="2" applyFont="1" applyFill="1" applyBorder="1" applyAlignment="1">
      <alignment wrapText="1"/>
    </xf>
    <xf numFmtId="164" fontId="11" fillId="2" borderId="6" xfId="1" applyFont="1" applyFill="1" applyBorder="1" applyAlignment="1"/>
    <xf numFmtId="0" fontId="26" fillId="2" borderId="6" xfId="2" applyFont="1" applyFill="1" applyBorder="1" applyAlignment="1" applyProtection="1">
      <alignment wrapText="1"/>
      <protection locked="0"/>
    </xf>
    <xf numFmtId="0" fontId="26" fillId="2" borderId="6" xfId="2" applyFont="1" applyFill="1" applyBorder="1" applyAlignment="1"/>
    <xf numFmtId="165" fontId="11" fillId="2" borderId="6" xfId="2" applyNumberFormat="1" applyFont="1" applyFill="1" applyBorder="1">
      <alignment horizontal="center" vertical="center"/>
    </xf>
    <xf numFmtId="164" fontId="23" fillId="2" borderId="0" xfId="1" applyFont="1" applyFill="1" applyAlignment="1" applyProtection="1">
      <protection locked="0"/>
    </xf>
    <xf numFmtId="0" fontId="23" fillId="2" borderId="0" xfId="2" applyFont="1" applyFill="1" applyAlignment="1" applyProtection="1">
      <protection locked="0"/>
    </xf>
    <xf numFmtId="165" fontId="23" fillId="2" borderId="0" xfId="2" applyNumberFormat="1" applyFont="1" applyFill="1" applyProtection="1">
      <alignment horizontal="center" vertical="center"/>
      <protection locked="0"/>
    </xf>
    <xf numFmtId="165" fontId="23" fillId="2" borderId="0" xfId="2" applyNumberFormat="1" applyFont="1" applyFill="1" applyAlignment="1">
      <alignment horizontal="right" vertical="center"/>
    </xf>
    <xf numFmtId="164" fontId="1" fillId="2" borderId="0" xfId="1" applyFont="1" applyFill="1" applyAlignment="1" applyProtection="1">
      <protection locked="0"/>
    </xf>
    <xf numFmtId="3" fontId="1" fillId="2" borderId="0" xfId="2" applyNumberFormat="1" applyFont="1" applyFill="1" applyProtection="1">
      <alignment horizontal="center" vertical="center"/>
      <protection locked="0"/>
    </xf>
    <xf numFmtId="0" fontId="1" fillId="2" borderId="0" xfId="2" applyFont="1" applyFill="1" applyAlignment="1" applyProtection="1">
      <alignment horizontal="left" vertical="center"/>
      <protection locked="0"/>
    </xf>
    <xf numFmtId="0" fontId="1" fillId="2" borderId="0" xfId="2" applyFont="1" applyFill="1" applyAlignment="1">
      <alignment horizontal="left" vertical="center"/>
    </xf>
    <xf numFmtId="165" fontId="11" fillId="2" borderId="44" xfId="4" applyNumberFormat="1" applyFont="1" applyFill="1" applyBorder="1" applyAlignment="1" applyProtection="1">
      <alignment horizontal="right" vertical="center" shrinkToFit="1"/>
      <protection locked="0"/>
    </xf>
    <xf numFmtId="165" fontId="11" fillId="2" borderId="31" xfId="4" applyNumberFormat="1" applyFont="1" applyFill="1" applyBorder="1" applyAlignment="1" applyProtection="1">
      <alignment horizontal="right" vertical="center" shrinkToFit="1"/>
      <protection locked="0"/>
    </xf>
    <xf numFmtId="0" fontId="11" fillId="17" borderId="6" xfId="2" applyFont="1" applyFill="1" applyBorder="1" applyAlignment="1">
      <alignment horizontal="left" vertical="center" wrapText="1"/>
    </xf>
    <xf numFmtId="3" fontId="11" fillId="17" borderId="6" xfId="2" applyNumberFormat="1" applyFont="1" applyFill="1" applyBorder="1" applyAlignment="1">
      <alignment horizontal="right" vertical="center" indent="1"/>
    </xf>
    <xf numFmtId="0" fontId="13" fillId="17" borderId="6" xfId="2" applyFont="1" applyFill="1" applyBorder="1" applyAlignment="1">
      <alignment horizontal="left" vertical="center" wrapText="1"/>
    </xf>
    <xf numFmtId="3" fontId="13" fillId="17" borderId="6" xfId="4" applyNumberFormat="1" applyFont="1" applyFill="1" applyBorder="1" applyAlignment="1">
      <alignment horizontal="right" vertical="center" indent="1"/>
    </xf>
    <xf numFmtId="0" fontId="13" fillId="18" borderId="6" xfId="2" applyFont="1" applyFill="1" applyBorder="1" applyAlignment="1">
      <alignment horizontal="left" vertical="center" wrapText="1"/>
    </xf>
    <xf numFmtId="3" fontId="13" fillId="18" borderId="6" xfId="4" applyNumberFormat="1" applyFont="1" applyFill="1" applyBorder="1" applyAlignment="1">
      <alignment horizontal="right" vertical="center" indent="1"/>
    </xf>
    <xf numFmtId="3" fontId="11" fillId="17" borderId="6" xfId="4" applyNumberFormat="1" applyFont="1" applyFill="1" applyBorder="1" applyAlignment="1">
      <alignment horizontal="right" vertical="center" indent="1"/>
    </xf>
    <xf numFmtId="3" fontId="1" fillId="9" borderId="6" xfId="2" applyNumberFormat="1" applyFont="1" applyFill="1" applyBorder="1" applyAlignment="1" applyProtection="1">
      <alignment horizontal="right" vertical="center" indent="1"/>
      <protection locked="0"/>
    </xf>
    <xf numFmtId="3" fontId="1" fillId="9" borderId="6" xfId="2" applyNumberFormat="1" applyFont="1" applyFill="1" applyBorder="1" applyAlignment="1">
      <alignment horizontal="right" vertical="center" indent="1"/>
    </xf>
    <xf numFmtId="3" fontId="11" fillId="9" borderId="6" xfId="2" applyNumberFormat="1" applyFont="1" applyFill="1" applyBorder="1" applyAlignment="1" applyProtection="1">
      <alignment horizontal="right" vertical="center" indent="1"/>
      <protection locked="0"/>
    </xf>
    <xf numFmtId="165" fontId="11" fillId="9" borderId="6" xfId="2" applyNumberFormat="1" applyFont="1" applyFill="1" applyBorder="1">
      <alignment horizontal="center" vertical="center"/>
    </xf>
    <xf numFmtId="3" fontId="1" fillId="7" borderId="6" xfId="2" applyNumberFormat="1" applyFont="1" applyFill="1" applyBorder="1" applyAlignment="1" applyProtection="1">
      <alignment horizontal="right" vertical="center" indent="1"/>
      <protection locked="0"/>
    </xf>
    <xf numFmtId="3" fontId="1" fillId="7" borderId="6" xfId="2" applyNumberFormat="1" applyFont="1" applyFill="1" applyBorder="1" applyAlignment="1">
      <alignment horizontal="right" vertical="center" indent="1"/>
    </xf>
    <xf numFmtId="3" fontId="1" fillId="13" borderId="6" xfId="2" applyNumberFormat="1" applyFont="1" applyFill="1" applyBorder="1" applyAlignment="1" applyProtection="1">
      <alignment horizontal="right" vertical="center" indent="1"/>
      <protection locked="0"/>
    </xf>
    <xf numFmtId="3" fontId="11" fillId="7" borderId="6" xfId="2" applyNumberFormat="1" applyFont="1" applyFill="1" applyBorder="1" applyAlignment="1" applyProtection="1">
      <alignment horizontal="right" vertical="center" indent="1"/>
      <protection locked="0"/>
    </xf>
    <xf numFmtId="165" fontId="11" fillId="7" borderId="6" xfId="2" applyNumberFormat="1" applyFont="1" applyFill="1" applyBorder="1">
      <alignment horizontal="center" vertical="center"/>
    </xf>
    <xf numFmtId="3" fontId="1" fillId="15" borderId="6" xfId="2" applyNumberFormat="1" applyFont="1" applyFill="1" applyBorder="1" applyAlignment="1">
      <alignment horizontal="right" vertical="center" indent="1"/>
    </xf>
    <xf numFmtId="3" fontId="1" fillId="5" borderId="6" xfId="2" applyNumberFormat="1" applyFont="1" applyFill="1" applyBorder="1" applyAlignment="1" applyProtection="1">
      <alignment horizontal="right" vertical="center" indent="1"/>
      <protection locked="0"/>
    </xf>
    <xf numFmtId="3" fontId="1" fillId="5" borderId="6" xfId="2" applyNumberFormat="1" applyFont="1" applyFill="1" applyBorder="1" applyAlignment="1">
      <alignment horizontal="right" vertical="center" indent="1"/>
    </xf>
    <xf numFmtId="3" fontId="1" fillId="14" borderId="6" xfId="2" applyNumberFormat="1" applyFont="1" applyFill="1" applyBorder="1" applyAlignment="1">
      <alignment horizontal="right" vertical="center" indent="1"/>
    </xf>
    <xf numFmtId="165" fontId="11" fillId="5" borderId="6" xfId="2" applyNumberFormat="1" applyFont="1" applyFill="1" applyBorder="1" applyProtection="1">
      <alignment horizontal="center" vertical="center"/>
      <protection locked="0"/>
    </xf>
    <xf numFmtId="165" fontId="11" fillId="5" borderId="6" xfId="2" applyNumberFormat="1" applyFont="1" applyFill="1" applyBorder="1">
      <alignment horizontal="center" vertical="center"/>
    </xf>
    <xf numFmtId="0" fontId="1" fillId="17" borderId="6" xfId="2" applyFont="1" applyFill="1" applyBorder="1" applyAlignment="1"/>
    <xf numFmtId="3" fontId="1" fillId="17" borderId="6" xfId="2" applyNumberFormat="1" applyFont="1" applyFill="1" applyBorder="1" applyAlignment="1">
      <alignment horizontal="right" vertical="center" indent="1"/>
    </xf>
    <xf numFmtId="0" fontId="25" fillId="17" borderId="6" xfId="2" applyFont="1" applyFill="1" applyBorder="1" applyAlignment="1">
      <alignment wrapText="1"/>
    </xf>
    <xf numFmtId="165" fontId="1" fillId="17" borderId="6" xfId="2" applyNumberFormat="1" applyFont="1" applyFill="1" applyBorder="1">
      <alignment horizontal="center" vertical="center"/>
    </xf>
    <xf numFmtId="0" fontId="2" fillId="17" borderId="6" xfId="2" applyFont="1" applyFill="1" applyBorder="1" applyAlignment="1"/>
    <xf numFmtId="3" fontId="1" fillId="17" borderId="6" xfId="2" applyNumberFormat="1" applyFont="1" applyFill="1" applyBorder="1" applyAlignment="1" applyProtection="1">
      <alignment horizontal="right" vertical="center" indent="1"/>
      <protection locked="0"/>
    </xf>
    <xf numFmtId="3" fontId="2" fillId="17" borderId="6" xfId="2" applyNumberFormat="1" applyFont="1" applyFill="1" applyBorder="1" applyAlignment="1"/>
    <xf numFmtId="164" fontId="27" fillId="2" borderId="0" xfId="1" applyFont="1" applyFill="1" applyAlignment="1">
      <alignment vertical="top" wrapText="1"/>
    </xf>
    <xf numFmtId="164" fontId="18" fillId="2" borderId="0" xfId="1" applyFont="1" applyFill="1" applyAlignment="1">
      <alignment horizontal="center" vertical="top" wrapText="1"/>
    </xf>
    <xf numFmtId="164" fontId="27" fillId="2" borderId="0" xfId="1" applyFont="1" applyFill="1">
      <alignment vertical="top"/>
    </xf>
    <xf numFmtId="0" fontId="27" fillId="2" borderId="0" xfId="0" applyFont="1" applyFill="1"/>
    <xf numFmtId="0" fontId="19" fillId="2" borderId="0" xfId="2" applyFont="1" applyFill="1" applyAlignment="1" applyProtection="1">
      <alignment horizontal="left" vertical="center" wrapText="1"/>
      <protection locked="0"/>
    </xf>
    <xf numFmtId="0" fontId="27" fillId="2" borderId="0" xfId="0" applyFont="1" applyFill="1" applyProtection="1">
      <protection locked="0"/>
    </xf>
    <xf numFmtId="0" fontId="19" fillId="2" borderId="0" xfId="2" applyFont="1" applyFill="1" applyAlignment="1">
      <alignment horizontal="center" vertical="center" wrapText="1"/>
    </xf>
    <xf numFmtId="0" fontId="13" fillId="2" borderId="6" xfId="0" applyFont="1" applyFill="1" applyBorder="1" applyAlignment="1">
      <alignment horizontal="center" vertical="center"/>
    </xf>
    <xf numFmtId="0" fontId="13" fillId="2" borderId="9" xfId="0" applyFont="1" applyFill="1" applyBorder="1" applyAlignment="1">
      <alignment horizontal="left" vertical="center"/>
    </xf>
    <xf numFmtId="0" fontId="13" fillId="2" borderId="8" xfId="0" applyFont="1" applyFill="1" applyBorder="1" applyAlignment="1">
      <alignment horizontal="left" vertical="center"/>
    </xf>
    <xf numFmtId="0" fontId="13" fillId="2" borderId="0" xfId="2" applyFont="1" applyFill="1" applyAlignment="1" applyProtection="1">
      <alignment horizontal="center" vertical="center" wrapText="1"/>
      <protection locked="0"/>
    </xf>
    <xf numFmtId="0" fontId="21" fillId="2" borderId="0" xfId="0" applyFont="1" applyFill="1" applyAlignment="1">
      <alignment horizontal="left" vertical="center"/>
    </xf>
    <xf numFmtId="0" fontId="13" fillId="5" borderId="6" xfId="10" applyFont="1" applyFill="1" applyBorder="1" applyAlignment="1" applyProtection="1">
      <alignment horizontal="center" vertical="center" wrapText="1"/>
    </xf>
    <xf numFmtId="0" fontId="11" fillId="2" borderId="0" xfId="0" applyFont="1" applyFill="1" applyAlignment="1" applyProtection="1">
      <alignment horizontal="center" vertical="top" wrapText="1"/>
      <protection locked="0"/>
    </xf>
    <xf numFmtId="0" fontId="11" fillId="2" borderId="6" xfId="2" applyFont="1" applyFill="1" applyBorder="1" applyAlignment="1" applyProtection="1">
      <alignment horizontal="left" vertical="center"/>
      <protection locked="0"/>
    </xf>
    <xf numFmtId="0" fontId="28" fillId="2" borderId="6" xfId="10" applyFont="1" applyFill="1" applyBorder="1" applyAlignment="1">
      <alignment horizontal="center" vertical="center"/>
      <protection locked="0"/>
    </xf>
    <xf numFmtId="0" fontId="28" fillId="2" borderId="6" xfId="10" applyFont="1" applyFill="1" applyBorder="1" applyAlignment="1" applyProtection="1">
      <alignment horizontal="center" vertical="center"/>
      <protection locked="0"/>
    </xf>
    <xf numFmtId="9" fontId="11" fillId="2" borderId="0" xfId="0" applyNumberFormat="1" applyFont="1" applyFill="1" applyAlignment="1" applyProtection="1">
      <alignment vertical="center"/>
      <protection locked="0"/>
    </xf>
    <xf numFmtId="0" fontId="11" fillId="2" borderId="0" xfId="0" applyFont="1" applyFill="1" applyAlignment="1" applyProtection="1">
      <alignment horizontal="left"/>
      <protection locked="0"/>
    </xf>
    <xf numFmtId="0" fontId="28" fillId="2" borderId="0" xfId="10" applyFont="1" applyFill="1" applyAlignment="1">
      <alignment horizontal="center" vertical="center"/>
      <protection locked="0"/>
    </xf>
    <xf numFmtId="14" fontId="11" fillId="2" borderId="6" xfId="2" applyNumberFormat="1" applyFont="1" applyFill="1" applyBorder="1" applyAlignment="1" applyProtection="1">
      <alignment horizontal="center" vertical="center" wrapText="1"/>
      <protection locked="0"/>
    </xf>
    <xf numFmtId="0" fontId="11" fillId="2" borderId="6" xfId="2" applyFont="1" applyFill="1" applyBorder="1" applyAlignment="1">
      <alignment horizontal="left" vertical="center"/>
    </xf>
    <xf numFmtId="0" fontId="11" fillId="2" borderId="6" xfId="2" applyFont="1" applyFill="1" applyBorder="1">
      <alignment horizontal="center" vertical="center"/>
    </xf>
    <xf numFmtId="0" fontId="13" fillId="2" borderId="0" xfId="2" applyFont="1" applyFill="1" applyAlignment="1" applyProtection="1">
      <alignment horizontal="left" vertical="center"/>
      <protection locked="0"/>
    </xf>
    <xf numFmtId="0" fontId="13" fillId="5" borderId="6" xfId="0" applyFont="1" applyFill="1" applyBorder="1" applyAlignment="1">
      <alignment horizontal="center" vertical="center"/>
    </xf>
    <xf numFmtId="0" fontId="13" fillId="5" borderId="9" xfId="0" applyFont="1" applyFill="1" applyBorder="1" applyAlignment="1">
      <alignment horizontal="left" vertical="center"/>
    </xf>
    <xf numFmtId="49" fontId="13" fillId="2" borderId="0" xfId="0" applyNumberFormat="1" applyFont="1" applyFill="1" applyAlignment="1" applyProtection="1">
      <alignment horizontal="left" vertical="top" readingOrder="1"/>
      <protection locked="0"/>
    </xf>
    <xf numFmtId="0" fontId="11" fillId="2" borderId="6" xfId="2" applyFont="1" applyFill="1" applyBorder="1" applyAlignment="1">
      <alignment vertical="center" wrapText="1"/>
    </xf>
    <xf numFmtId="0" fontId="13" fillId="2" borderId="6" xfId="0" applyFont="1" applyFill="1" applyBorder="1" applyAlignment="1" applyProtection="1">
      <alignment vertical="center" wrapText="1"/>
      <protection locked="0"/>
    </xf>
    <xf numFmtId="49" fontId="11" fillId="2" borderId="0" xfId="0" applyNumberFormat="1" applyFont="1" applyFill="1" applyAlignment="1" applyProtection="1">
      <alignment horizontal="left" vertical="top" readingOrder="1"/>
      <protection locked="0"/>
    </xf>
    <xf numFmtId="0" fontId="29" fillId="2" borderId="6" xfId="10" applyFont="1" applyFill="1" applyBorder="1" applyAlignment="1" applyProtection="1">
      <alignment vertical="center" wrapText="1"/>
    </xf>
    <xf numFmtId="0" fontId="11" fillId="2" borderId="0" xfId="2" applyFont="1" applyFill="1" applyAlignment="1" applyProtection="1">
      <alignment vertical="center" wrapText="1"/>
      <protection locked="0"/>
    </xf>
    <xf numFmtId="0" fontId="29" fillId="2" borderId="0" xfId="0" applyFont="1" applyFill="1"/>
    <xf numFmtId="0" fontId="29" fillId="2" borderId="0" xfId="2" applyFont="1" applyFill="1">
      <alignment horizontal="center" vertical="center"/>
    </xf>
    <xf numFmtId="0" fontId="29" fillId="2" borderId="0" xfId="0" applyFont="1" applyFill="1" applyAlignment="1">
      <alignment horizontal="center" vertical="center"/>
    </xf>
    <xf numFmtId="0" fontId="19" fillId="2" borderId="0" xfId="2" applyFont="1" applyFill="1" applyAlignment="1" applyProtection="1">
      <alignment vertical="center"/>
      <protection locked="0"/>
    </xf>
    <xf numFmtId="0" fontId="11" fillId="2" borderId="0" xfId="2" applyFont="1" applyFill="1" applyAlignment="1" applyProtection="1">
      <alignment horizontal="center" vertical="top"/>
      <protection locked="0"/>
    </xf>
    <xf numFmtId="0" fontId="13" fillId="2" borderId="0" xfId="2" applyFont="1" applyFill="1" applyAlignment="1">
      <alignment vertical="center"/>
    </xf>
    <xf numFmtId="0" fontId="13" fillId="2" borderId="8" xfId="0" applyFont="1" applyFill="1" applyBorder="1" applyAlignment="1">
      <alignment horizontal="center" vertical="center"/>
    </xf>
    <xf numFmtId="3" fontId="11" fillId="2" borderId="6" xfId="2" applyNumberFormat="1" applyFont="1" applyFill="1" applyBorder="1" applyAlignment="1" applyProtection="1">
      <alignment horizontal="right" vertical="center" wrapText="1"/>
      <protection locked="0"/>
    </xf>
    <xf numFmtId="10" fontId="11" fillId="2" borderId="6" xfId="16" applyNumberFormat="1" applyFont="1" applyFill="1" applyBorder="1" applyAlignment="1" applyProtection="1">
      <alignment horizontal="right" vertical="center" wrapText="1"/>
      <protection locked="0"/>
    </xf>
    <xf numFmtId="0" fontId="27" fillId="2" borderId="0" xfId="2" applyFont="1" applyFill="1">
      <alignment horizontal="center" vertical="center"/>
    </xf>
    <xf numFmtId="3" fontId="11" fillId="2" borderId="6" xfId="15" applyNumberFormat="1" applyFont="1" applyFill="1" applyBorder="1" applyAlignment="1" applyProtection="1">
      <alignment horizontal="right" vertical="center" wrapText="1"/>
      <protection locked="0"/>
    </xf>
    <xf numFmtId="14" fontId="11" fillId="2" borderId="6" xfId="2" applyNumberFormat="1" applyFont="1" applyFill="1" applyBorder="1" applyAlignment="1" applyProtection="1">
      <alignment horizontal="right" vertical="center" wrapText="1"/>
      <protection locked="0"/>
    </xf>
    <xf numFmtId="10" fontId="11" fillId="2" borderId="6" xfId="2" applyNumberFormat="1" applyFont="1" applyFill="1" applyBorder="1" applyAlignment="1" applyProtection="1">
      <alignment horizontal="right" vertical="center" wrapText="1"/>
      <protection locked="0"/>
    </xf>
    <xf numFmtId="171" fontId="11" fillId="2" borderId="6" xfId="2" applyNumberFormat="1" applyFont="1" applyFill="1" applyBorder="1" applyAlignment="1" applyProtection="1">
      <alignment horizontal="right" vertical="center" wrapText="1"/>
      <protection locked="0"/>
    </xf>
    <xf numFmtId="0" fontId="11" fillId="2" borderId="12" xfId="2" applyFont="1" applyFill="1" applyBorder="1" applyProtection="1">
      <alignment horizontal="center" vertical="center"/>
      <protection locked="0"/>
    </xf>
    <xf numFmtId="41" fontId="11" fillId="2" borderId="0" xfId="2" applyNumberFormat="1" applyFont="1" applyFill="1" applyProtection="1">
      <alignment horizontal="center" vertical="center"/>
      <protection locked="0"/>
    </xf>
    <xf numFmtId="0" fontId="13" fillId="4" borderId="6" xfId="2" applyFont="1" applyFill="1" applyBorder="1">
      <alignment horizontal="center" vertical="center"/>
    </xf>
    <xf numFmtId="0" fontId="11" fillId="17" borderId="6" xfId="2" applyFont="1" applyFill="1" applyBorder="1">
      <alignment horizontal="center" vertical="center"/>
    </xf>
    <xf numFmtId="0" fontId="13" fillId="4" borderId="6" xfId="0" applyFont="1" applyFill="1" applyBorder="1" applyAlignment="1">
      <alignment horizontal="center" vertical="center"/>
    </xf>
    <xf numFmtId="0" fontId="13" fillId="4" borderId="6" xfId="0" applyFont="1" applyFill="1" applyBorder="1" applyAlignment="1">
      <alignment horizontal="center" vertical="center" wrapText="1"/>
    </xf>
    <xf numFmtId="14" fontId="11" fillId="2" borderId="6" xfId="2" applyNumberFormat="1" applyFont="1" applyFill="1" applyBorder="1" applyAlignment="1" applyProtection="1">
      <alignment horizontal="left" vertical="center" wrapText="1"/>
      <protection locked="0"/>
    </xf>
    <xf numFmtId="3" fontId="13" fillId="17" borderId="6" xfId="2" applyNumberFormat="1" applyFont="1" applyFill="1" applyBorder="1" applyAlignment="1">
      <alignment horizontal="right" vertical="center" indent="1"/>
    </xf>
    <xf numFmtId="0" fontId="13" fillId="17" borderId="6" xfId="2" applyFont="1" applyFill="1" applyBorder="1">
      <alignment horizontal="center" vertical="center"/>
    </xf>
    <xf numFmtId="10" fontId="13" fillId="17" borderId="6" xfId="16" applyNumberFormat="1" applyFont="1" applyFill="1" applyBorder="1" applyAlignment="1">
      <alignment horizontal="right" vertical="center" indent="1"/>
    </xf>
    <xf numFmtId="0" fontId="11" fillId="11" borderId="6" xfId="2" applyFont="1" applyFill="1" applyBorder="1" applyAlignment="1" applyProtection="1">
      <alignment horizontal="left" vertical="center" wrapText="1"/>
      <protection locked="0"/>
    </xf>
    <xf numFmtId="0" fontId="0" fillId="2" borderId="0" xfId="0" applyFill="1" applyAlignment="1" applyProtection="1">
      <alignment vertical="center"/>
      <protection locked="0"/>
    </xf>
    <xf numFmtId="0" fontId="13" fillId="2" borderId="0" xfId="10" applyFont="1" applyFill="1" applyAlignment="1">
      <alignment vertical="center"/>
      <protection locked="0"/>
    </xf>
    <xf numFmtId="0" fontId="11" fillId="2" borderId="0" xfId="11" applyFont="1" applyFill="1" applyAlignment="1" applyProtection="1">
      <alignment vertical="center"/>
      <protection locked="0"/>
    </xf>
    <xf numFmtId="0" fontId="11" fillId="2" borderId="0" xfId="0" applyFont="1" applyFill="1" applyAlignment="1">
      <alignment horizontal="center"/>
    </xf>
    <xf numFmtId="0" fontId="22" fillId="2" borderId="0" xfId="0" applyFont="1" applyFill="1" applyAlignment="1">
      <alignment horizontal="left" vertical="center" wrapText="1"/>
    </xf>
    <xf numFmtId="0" fontId="0" fillId="2" borderId="56" xfId="0" applyFill="1" applyBorder="1"/>
    <xf numFmtId="0" fontId="0" fillId="2" borderId="0" xfId="0" applyFill="1"/>
    <xf numFmtId="0" fontId="0" fillId="2" borderId="40" xfId="0" applyFill="1" applyBorder="1"/>
    <xf numFmtId="0" fontId="11" fillId="2" borderId="0" xfId="0" applyFont="1" applyFill="1" applyAlignment="1" applyProtection="1">
      <alignment vertical="top"/>
      <protection locked="0"/>
    </xf>
    <xf numFmtId="0" fontId="11" fillId="2" borderId="0" xfId="0" applyFont="1" applyFill="1" applyAlignment="1" applyProtection="1">
      <alignment vertical="center" wrapText="1"/>
      <protection locked="0"/>
    </xf>
    <xf numFmtId="0" fontId="11" fillId="2" borderId="0" xfId="0" applyFont="1" applyFill="1" applyAlignment="1">
      <alignment wrapText="1"/>
    </xf>
    <xf numFmtId="0" fontId="11" fillId="17" borderId="0" xfId="0" applyFont="1" applyFill="1" applyAlignment="1">
      <alignment horizontal="center" vertical="center" wrapText="1"/>
    </xf>
    <xf numFmtId="0" fontId="19" fillId="17" borderId="0" xfId="2" applyFont="1" applyFill="1" applyAlignment="1">
      <alignment horizontal="center" vertical="center" wrapText="1"/>
    </xf>
    <xf numFmtId="0" fontId="11" fillId="7" borderId="0" xfId="2" applyFont="1" applyFill="1" applyAlignment="1">
      <alignment horizontal="left" vertical="center" wrapText="1"/>
    </xf>
    <xf numFmtId="0" fontId="11" fillId="6" borderId="0" xfId="0" applyFont="1" applyFill="1" applyAlignment="1">
      <alignment horizontal="left" vertical="center" wrapText="1"/>
    </xf>
    <xf numFmtId="0" fontId="11" fillId="6" borderId="0" xfId="0" applyFont="1" applyFill="1" applyAlignment="1">
      <alignment vertical="center"/>
    </xf>
    <xf numFmtId="0" fontId="0" fillId="2" borderId="0" xfId="0" applyFill="1" applyAlignment="1">
      <alignment horizontal="center"/>
    </xf>
    <xf numFmtId="0" fontId="11" fillId="2" borderId="6" xfId="0" applyFont="1" applyFill="1" applyBorder="1" applyAlignment="1">
      <alignment horizontal="center"/>
    </xf>
    <xf numFmtId="0" fontId="0" fillId="2" borderId="6" xfId="0" applyFill="1" applyBorder="1" applyAlignment="1">
      <alignment horizontal="center"/>
    </xf>
    <xf numFmtId="0" fontId="13" fillId="8" borderId="9" xfId="2" applyFont="1" applyFill="1" applyBorder="1" applyAlignment="1">
      <alignment horizontal="center" vertical="center" wrapText="1"/>
    </xf>
    <xf numFmtId="0" fontId="11" fillId="16" borderId="6" xfId="0" applyFont="1" applyFill="1" applyBorder="1" applyAlignment="1">
      <alignment horizontal="center"/>
    </xf>
    <xf numFmtId="0" fontId="13" fillId="2" borderId="28" xfId="0" applyFont="1" applyFill="1" applyBorder="1" applyAlignment="1">
      <alignment horizontal="center" vertical="center"/>
    </xf>
    <xf numFmtId="0" fontId="13" fillId="2" borderId="15" xfId="0" applyFont="1" applyFill="1" applyBorder="1" applyAlignment="1">
      <alignment horizontal="left" vertical="center"/>
    </xf>
    <xf numFmtId="0" fontId="13" fillId="2" borderId="14" xfId="0" applyFont="1" applyFill="1" applyBorder="1" applyAlignment="1">
      <alignment horizontal="left" vertical="center"/>
    </xf>
    <xf numFmtId="0" fontId="13" fillId="2" borderId="6" xfId="2" applyFont="1" applyFill="1" applyBorder="1" applyAlignment="1">
      <alignment vertical="top" wrapText="1"/>
    </xf>
    <xf numFmtId="0" fontId="32" fillId="19" borderId="0" xfId="0" applyFont="1" applyFill="1" applyAlignment="1">
      <alignment vertical="center" wrapText="1"/>
    </xf>
    <xf numFmtId="3" fontId="13" fillId="17" borderId="6" xfId="11" applyNumberFormat="1" applyFont="1" applyFill="1" applyBorder="1" applyAlignment="1">
      <alignment horizontal="center" vertical="center" wrapText="1"/>
    </xf>
    <xf numFmtId="0" fontId="11" fillId="2" borderId="0" xfId="11" applyFont="1" applyFill="1" applyAlignment="1" applyProtection="1">
      <alignment horizontal="center" vertical="center"/>
      <protection locked="0"/>
    </xf>
    <xf numFmtId="3" fontId="11" fillId="2" borderId="28" xfId="11" applyNumberFormat="1" applyFont="1" applyFill="1" applyBorder="1" applyAlignment="1" applyProtection="1">
      <alignment horizontal="right" vertical="center"/>
      <protection locked="0"/>
    </xf>
    <xf numFmtId="3" fontId="11" fillId="2" borderId="9" xfId="11" applyNumberFormat="1" applyFont="1" applyFill="1" applyBorder="1" applyAlignment="1" applyProtection="1">
      <alignment horizontal="right" vertical="center"/>
      <protection locked="0"/>
    </xf>
    <xf numFmtId="3" fontId="11" fillId="2" borderId="6" xfId="11" applyNumberFormat="1" applyFont="1" applyFill="1" applyBorder="1" applyAlignment="1" applyProtection="1">
      <alignment horizontal="right" vertical="center"/>
      <protection locked="0"/>
    </xf>
    <xf numFmtId="170" fontId="13" fillId="2" borderId="0" xfId="11" applyNumberFormat="1" applyFont="1" applyFill="1" applyAlignment="1" applyProtection="1">
      <alignment horizontal="center" vertical="center"/>
      <protection locked="0"/>
    </xf>
    <xf numFmtId="164" fontId="22" fillId="2" borderId="0" xfId="1" applyFont="1" applyFill="1" applyAlignment="1">
      <alignment horizontal="center" vertical="center" wrapText="1"/>
    </xf>
    <xf numFmtId="9" fontId="22" fillId="2" borderId="0" xfId="1" applyNumberFormat="1" applyFont="1" applyFill="1" applyAlignment="1">
      <alignment vertical="center" wrapText="1"/>
    </xf>
    <xf numFmtId="164" fontId="22" fillId="2" borderId="0" xfId="1" applyFont="1" applyFill="1" applyAlignment="1">
      <alignment vertical="center"/>
    </xf>
    <xf numFmtId="164" fontId="22" fillId="2" borderId="0" xfId="1" applyFont="1" applyFill="1">
      <alignment vertical="top"/>
    </xf>
    <xf numFmtId="164" fontId="22" fillId="2" borderId="0" xfId="1" applyFont="1" applyFill="1" applyAlignment="1">
      <alignment horizontal="center" vertical="top" wrapText="1"/>
    </xf>
    <xf numFmtId="0" fontId="33" fillId="0" borderId="0" xfId="0" applyFont="1" applyAlignment="1">
      <alignment vertical="center"/>
    </xf>
    <xf numFmtId="164" fontId="33" fillId="0" borderId="0" xfId="0" applyNumberFormat="1" applyFont="1" applyAlignment="1">
      <alignment vertical="center"/>
    </xf>
    <xf numFmtId="0" fontId="34" fillId="2" borderId="0" xfId="2" applyFont="1" applyFill="1" applyAlignment="1">
      <alignment vertical="center"/>
    </xf>
    <xf numFmtId="0" fontId="23" fillId="0" borderId="0" xfId="0" applyFont="1"/>
    <xf numFmtId="165" fontId="11" fillId="2" borderId="0" xfId="2" applyNumberFormat="1" applyFont="1" applyFill="1" applyProtection="1">
      <alignment horizontal="center" vertical="center"/>
      <protection locked="0"/>
    </xf>
    <xf numFmtId="0" fontId="13" fillId="20" borderId="19" xfId="0" applyFont="1" applyFill="1" applyBorder="1" applyAlignment="1">
      <alignment horizontal="center" vertical="center" wrapText="1"/>
    </xf>
    <xf numFmtId="0" fontId="13" fillId="20" borderId="57" xfId="0" applyFont="1" applyFill="1" applyBorder="1" applyAlignment="1">
      <alignment horizontal="center" vertical="center" wrapText="1"/>
    </xf>
    <xf numFmtId="4" fontId="11" fillId="20" borderId="6" xfId="2" applyNumberFormat="1" applyFont="1" applyFill="1" applyBorder="1">
      <alignment horizontal="center" vertical="center"/>
    </xf>
    <xf numFmtId="0" fontId="13" fillId="20" borderId="8" xfId="2" applyFont="1" applyFill="1" applyBorder="1" applyAlignment="1">
      <alignment horizontal="center" vertical="center" wrapText="1"/>
    </xf>
    <xf numFmtId="3" fontId="11" fillId="20" borderId="6" xfId="2" applyNumberFormat="1" applyFont="1" applyFill="1" applyBorder="1">
      <alignment horizontal="center" vertical="center"/>
    </xf>
    <xf numFmtId="0" fontId="13" fillId="20" borderId="6" xfId="2" applyFont="1" applyFill="1" applyBorder="1" applyAlignment="1">
      <alignment horizontal="left" vertical="center" wrapText="1"/>
    </xf>
    <xf numFmtId="0" fontId="13" fillId="20" borderId="8" xfId="2" applyFont="1" applyFill="1" applyBorder="1" applyAlignment="1">
      <alignment horizontal="left" vertical="center" wrapText="1"/>
    </xf>
    <xf numFmtId="0" fontId="11" fillId="20" borderId="0" xfId="2" applyFont="1" applyFill="1">
      <alignment horizontal="center" vertical="center"/>
    </xf>
    <xf numFmtId="165" fontId="11" fillId="20" borderId="6" xfId="14" applyNumberFormat="1" applyFont="1" applyFill="1" applyBorder="1" applyAlignment="1">
      <alignment horizontal="center" vertical="center"/>
    </xf>
    <xf numFmtId="165" fontId="11" fillId="20" borderId="8" xfId="14" applyNumberFormat="1" applyFont="1" applyFill="1" applyBorder="1" applyAlignment="1">
      <alignment horizontal="center" vertical="center"/>
    </xf>
    <xf numFmtId="165" fontId="11" fillId="20" borderId="0" xfId="2" applyNumberFormat="1" applyFont="1" applyFill="1" applyProtection="1">
      <alignment horizontal="center" vertical="center"/>
      <protection locked="0"/>
    </xf>
    <xf numFmtId="3" fontId="11" fillId="20" borderId="9" xfId="0" applyNumberFormat="1" applyFont="1" applyFill="1" applyBorder="1" applyAlignment="1">
      <alignment horizontal="center" vertical="center"/>
    </xf>
    <xf numFmtId="3" fontId="11" fillId="2" borderId="31" xfId="2" applyNumberFormat="1" applyFont="1" applyFill="1" applyBorder="1" applyAlignment="1">
      <alignment horizontal="right" vertical="center" indent="1"/>
    </xf>
    <xf numFmtId="3" fontId="11" fillId="2" borderId="31" xfId="4" applyNumberFormat="1" applyFont="1" applyFill="1" applyBorder="1" applyAlignment="1">
      <alignment horizontal="right" vertical="center" indent="1"/>
    </xf>
    <xf numFmtId="0" fontId="11" fillId="2" borderId="24" xfId="2" applyFont="1" applyFill="1" applyBorder="1" applyAlignment="1">
      <alignment horizontal="right" vertical="center" indent="1"/>
    </xf>
    <xf numFmtId="3" fontId="11" fillId="2" borderId="17" xfId="2" applyNumberFormat="1" applyFont="1" applyFill="1" applyBorder="1" applyAlignment="1">
      <alignment horizontal="right" vertical="center" indent="1"/>
    </xf>
    <xf numFmtId="172" fontId="13" fillId="20" borderId="18" xfId="14" applyNumberFormat="1" applyFont="1" applyFill="1" applyBorder="1" applyAlignment="1" applyProtection="1">
      <alignment horizontal="center" vertical="center" shrinkToFit="1"/>
      <protection locked="0"/>
    </xf>
    <xf numFmtId="165" fontId="11" fillId="20" borderId="21" xfId="4" applyNumberFormat="1" applyFont="1" applyFill="1" applyBorder="1" applyAlignment="1" applyProtection="1">
      <alignment horizontal="right" vertical="center" shrinkToFit="1"/>
      <protection locked="0"/>
    </xf>
    <xf numFmtId="165" fontId="11" fillId="20" borderId="1" xfId="0" applyNumberFormat="1" applyFont="1" applyFill="1" applyBorder="1" applyAlignment="1" applyProtection="1">
      <alignment vertical="center"/>
      <protection locked="0"/>
    </xf>
    <xf numFmtId="3" fontId="11" fillId="20" borderId="31" xfId="2" applyNumberFormat="1" applyFont="1" applyFill="1" applyBorder="1" applyAlignment="1">
      <alignment horizontal="right" vertical="center" indent="1"/>
    </xf>
    <xf numFmtId="3" fontId="11" fillId="20" borderId="23" xfId="4" applyNumberFormat="1" applyFont="1" applyFill="1" applyBorder="1" applyAlignment="1">
      <alignment horizontal="right" vertical="center" indent="1"/>
    </xf>
    <xf numFmtId="3" fontId="13" fillId="20" borderId="7" xfId="4" applyNumberFormat="1" applyFont="1" applyFill="1" applyBorder="1" applyAlignment="1">
      <alignment horizontal="right" vertical="center" indent="1"/>
    </xf>
    <xf numFmtId="3" fontId="13" fillId="21" borderId="6" xfId="4" applyNumberFormat="1" applyFont="1" applyFill="1" applyBorder="1" applyAlignment="1">
      <alignment horizontal="right" vertical="center" indent="1"/>
    </xf>
    <xf numFmtId="3" fontId="11" fillId="20" borderId="8" xfId="4" applyNumberFormat="1" applyFont="1" applyFill="1" applyBorder="1" applyAlignment="1">
      <alignment horizontal="right" vertical="center" indent="1"/>
    </xf>
    <xf numFmtId="3" fontId="11" fillId="20" borderId="17" xfId="2" applyNumberFormat="1" applyFont="1" applyFill="1" applyBorder="1" applyAlignment="1">
      <alignment horizontal="right" vertical="center" indent="1"/>
    </xf>
    <xf numFmtId="3" fontId="11" fillId="20" borderId="17" xfId="4" applyNumberFormat="1" applyFont="1" applyFill="1" applyBorder="1" applyAlignment="1">
      <alignment horizontal="right" vertical="center" indent="1"/>
    </xf>
    <xf numFmtId="3" fontId="11" fillId="20" borderId="31" xfId="4" applyNumberFormat="1" applyFont="1" applyFill="1" applyBorder="1" applyAlignment="1">
      <alignment horizontal="right" vertical="center" indent="1"/>
    </xf>
    <xf numFmtId="0" fontId="11" fillId="20" borderId="24" xfId="2" applyFont="1" applyFill="1" applyBorder="1" applyAlignment="1">
      <alignment horizontal="right" vertical="center" indent="1"/>
    </xf>
    <xf numFmtId="0" fontId="13" fillId="17" borderId="9" xfId="2" applyFont="1" applyFill="1" applyBorder="1" applyAlignment="1">
      <alignment vertical="center" wrapText="1"/>
    </xf>
    <xf numFmtId="0" fontId="13" fillId="17" borderId="8" xfId="2" applyFont="1" applyFill="1" applyBorder="1" applyAlignment="1">
      <alignment vertical="center" wrapText="1"/>
    </xf>
    <xf numFmtId="0" fontId="13" fillId="20" borderId="8" xfId="2" applyFont="1" applyFill="1" applyBorder="1" applyAlignment="1">
      <alignment vertical="center" wrapText="1"/>
    </xf>
    <xf numFmtId="3" fontId="11" fillId="20" borderId="6" xfId="2" applyNumberFormat="1" applyFont="1" applyFill="1" applyBorder="1" applyAlignment="1">
      <alignment horizontal="right" vertical="center" indent="1"/>
    </xf>
    <xf numFmtId="0" fontId="11" fillId="20" borderId="0" xfId="2" applyFont="1" applyFill="1" applyAlignment="1">
      <alignment horizontal="right" vertical="center" indent="1"/>
    </xf>
    <xf numFmtId="3" fontId="11" fillId="20" borderId="23" xfId="2" applyNumberFormat="1" applyFont="1" applyFill="1" applyBorder="1" applyAlignment="1">
      <alignment horizontal="right" vertical="center" indent="1"/>
    </xf>
    <xf numFmtId="3" fontId="11" fillId="20" borderId="8" xfId="0" applyNumberFormat="1" applyFont="1" applyFill="1" applyBorder="1" applyAlignment="1">
      <alignment horizontal="right" vertical="center" indent="1"/>
    </xf>
    <xf numFmtId="168" fontId="11" fillId="20" borderId="17" xfId="4" applyNumberFormat="1" applyFont="1" applyFill="1" applyBorder="1" applyAlignment="1">
      <alignment horizontal="right" vertical="center" indent="1"/>
    </xf>
    <xf numFmtId="3" fontId="11" fillId="20" borderId="6" xfId="4" applyNumberFormat="1" applyFont="1" applyFill="1" applyBorder="1" applyAlignment="1">
      <alignment horizontal="right" vertical="center" indent="1"/>
    </xf>
    <xf numFmtId="167" fontId="11" fillId="2" borderId="0" xfId="2" applyNumberFormat="1" applyFont="1" applyFill="1" applyAlignment="1">
      <alignment horizontal="right" vertical="center" indent="1"/>
    </xf>
    <xf numFmtId="165" fontId="1" fillId="17" borderId="12" xfId="2" applyNumberFormat="1" applyFont="1" applyFill="1" applyBorder="1">
      <alignment horizontal="center" vertical="center"/>
    </xf>
    <xf numFmtId="3" fontId="11" fillId="17" borderId="7" xfId="2" applyNumberFormat="1" applyFont="1" applyFill="1" applyBorder="1" applyAlignment="1">
      <alignment horizontal="right" vertical="center" indent="1"/>
    </xf>
    <xf numFmtId="3" fontId="1" fillId="7" borderId="28" xfId="2" applyNumberFormat="1" applyFont="1" applyFill="1" applyBorder="1" applyAlignment="1" applyProtection="1">
      <alignment horizontal="right" vertical="center" indent="1"/>
      <protection locked="0"/>
    </xf>
    <xf numFmtId="3" fontId="1" fillId="9" borderId="28" xfId="2" applyNumberFormat="1" applyFont="1" applyFill="1" applyBorder="1" applyAlignment="1" applyProtection="1">
      <alignment horizontal="right" vertical="center" indent="1"/>
      <protection locked="0"/>
    </xf>
    <xf numFmtId="3" fontId="1" fillId="5" borderId="28" xfId="2" applyNumberFormat="1" applyFont="1" applyFill="1" applyBorder="1" applyAlignment="1" applyProtection="1">
      <alignment horizontal="right" vertical="center" indent="1"/>
      <protection locked="0"/>
    </xf>
    <xf numFmtId="3" fontId="1" fillId="2" borderId="28" xfId="2" applyNumberFormat="1" applyFont="1" applyFill="1" applyBorder="1" applyAlignment="1" applyProtection="1">
      <alignment horizontal="right" vertical="center" indent="1"/>
      <protection locked="0"/>
    </xf>
    <xf numFmtId="165" fontId="11" fillId="20" borderId="0" xfId="4" applyNumberFormat="1" applyFont="1" applyFill="1" applyAlignment="1" applyProtection="1">
      <alignment horizontal="center" vertical="center" shrinkToFit="1"/>
      <protection locked="0"/>
    </xf>
    <xf numFmtId="165" fontId="11" fillId="20" borderId="0" xfId="4" applyNumberFormat="1" applyFont="1" applyFill="1" applyAlignment="1" applyProtection="1">
      <alignment horizontal="right" vertical="center" shrinkToFit="1"/>
      <protection locked="0"/>
    </xf>
    <xf numFmtId="3" fontId="11" fillId="20" borderId="0" xfId="2" applyNumberFormat="1" applyFont="1" applyFill="1" applyAlignment="1">
      <alignment horizontal="right" vertical="center" indent="1"/>
    </xf>
    <xf numFmtId="3" fontId="1" fillId="20" borderId="7" xfId="2" applyNumberFormat="1" applyFont="1" applyFill="1" applyBorder="1" applyAlignment="1">
      <alignment horizontal="right" vertical="center" indent="1"/>
    </xf>
    <xf numFmtId="165" fontId="1" fillId="20" borderId="12" xfId="2" applyNumberFormat="1" applyFont="1" applyFill="1" applyBorder="1">
      <alignment horizontal="center" vertical="center"/>
    </xf>
    <xf numFmtId="165" fontId="1" fillId="20" borderId="0" xfId="2" applyNumberFormat="1" applyFont="1" applyFill="1" applyAlignment="1">
      <alignment horizontal="right" vertical="center"/>
    </xf>
    <xf numFmtId="3" fontId="11" fillId="20" borderId="7" xfId="2" applyNumberFormat="1" applyFont="1" applyFill="1" applyBorder="1" applyAlignment="1">
      <alignment horizontal="right" vertical="center" indent="1"/>
    </xf>
    <xf numFmtId="3" fontId="1" fillId="20" borderId="0" xfId="2" applyNumberFormat="1" applyFont="1" applyFill="1" applyAlignment="1">
      <alignment horizontal="right" vertical="center" indent="1"/>
    </xf>
    <xf numFmtId="3" fontId="11" fillId="20" borderId="30" xfId="2" applyNumberFormat="1" applyFont="1" applyFill="1" applyBorder="1" applyAlignment="1">
      <alignment horizontal="right" vertical="center" indent="1"/>
    </xf>
    <xf numFmtId="3" fontId="11" fillId="20" borderId="36" xfId="2" applyNumberFormat="1" applyFont="1" applyFill="1" applyBorder="1" applyAlignment="1">
      <alignment horizontal="right" vertical="center" indent="1"/>
    </xf>
    <xf numFmtId="165" fontId="11" fillId="20" borderId="20" xfId="2" applyNumberFormat="1" applyFont="1" applyFill="1" applyBorder="1" applyProtection="1">
      <alignment horizontal="center" vertical="center"/>
      <protection locked="0"/>
    </xf>
    <xf numFmtId="165" fontId="11" fillId="20" borderId="0" xfId="2" applyNumberFormat="1" applyFont="1" applyFill="1">
      <alignment horizontal="center" vertical="center"/>
    </xf>
    <xf numFmtId="165" fontId="23" fillId="20" borderId="0" xfId="2" applyNumberFormat="1" applyFont="1" applyFill="1" applyAlignment="1">
      <alignment horizontal="right" vertical="center"/>
    </xf>
    <xf numFmtId="0" fontId="36" fillId="5" borderId="15" xfId="2" applyFont="1" applyFill="1" applyBorder="1" applyAlignment="1">
      <alignment horizontal="left" vertical="center" wrapText="1"/>
    </xf>
    <xf numFmtId="3" fontId="11" fillId="4" borderId="6" xfId="2" applyNumberFormat="1" applyFont="1" applyFill="1" applyBorder="1">
      <alignment horizontal="center" vertical="center"/>
    </xf>
    <xf numFmtId="0" fontId="11" fillId="4" borderId="0" xfId="2" applyFont="1" applyFill="1">
      <alignment horizontal="center" vertical="center"/>
    </xf>
    <xf numFmtId="165" fontId="11" fillId="4" borderId="6" xfId="14" applyNumberFormat="1" applyFont="1" applyFill="1" applyBorder="1" applyAlignment="1">
      <alignment horizontal="center" vertical="center"/>
    </xf>
    <xf numFmtId="3" fontId="11" fillId="4" borderId="9" xfId="0" applyNumberFormat="1" applyFont="1" applyFill="1" applyBorder="1" applyAlignment="1">
      <alignment horizontal="center" vertical="center"/>
    </xf>
    <xf numFmtId="3" fontId="11" fillId="4" borderId="15" xfId="2" applyNumberFormat="1" applyFont="1" applyFill="1" applyBorder="1" applyAlignment="1">
      <alignment horizontal="right" vertical="center" indent="1"/>
    </xf>
    <xf numFmtId="3" fontId="11" fillId="4" borderId="9" xfId="4" applyNumberFormat="1" applyFont="1" applyFill="1" applyBorder="1" applyAlignment="1">
      <alignment horizontal="right" vertical="center" indent="1"/>
    </xf>
    <xf numFmtId="3" fontId="11" fillId="4" borderId="23" xfId="4" applyNumberFormat="1" applyFont="1" applyFill="1" applyBorder="1" applyAlignment="1">
      <alignment horizontal="right" vertical="center" indent="1"/>
    </xf>
    <xf numFmtId="165" fontId="13" fillId="2" borderId="3" xfId="4" applyNumberFormat="1" applyFont="1" applyFill="1" applyBorder="1" applyAlignment="1" applyProtection="1">
      <alignment vertical="center" shrinkToFit="1"/>
      <protection locked="0"/>
    </xf>
    <xf numFmtId="0" fontId="13" fillId="2" borderId="47" xfId="2" applyFont="1" applyFill="1" applyBorder="1">
      <alignment horizontal="center" vertical="center"/>
    </xf>
    <xf numFmtId="3" fontId="11" fillId="2" borderId="27" xfId="4" applyNumberFormat="1" applyFont="1" applyFill="1" applyBorder="1" applyAlignment="1">
      <alignment horizontal="right" vertical="center" indent="1"/>
    </xf>
    <xf numFmtId="3" fontId="11" fillId="2" borderId="27" xfId="2" applyNumberFormat="1" applyFont="1" applyFill="1" applyBorder="1" applyAlignment="1">
      <alignment horizontal="right" vertical="center" indent="1"/>
    </xf>
    <xf numFmtId="3" fontId="11" fillId="2" borderId="7" xfId="4" applyNumberFormat="1" applyFont="1" applyFill="1" applyBorder="1" applyAlignment="1">
      <alignment horizontal="right" vertical="center" indent="1"/>
    </xf>
    <xf numFmtId="0" fontId="11" fillId="2" borderId="59" xfId="2" applyFont="1" applyFill="1" applyBorder="1" applyAlignment="1">
      <alignment horizontal="right" vertical="center" indent="1"/>
    </xf>
    <xf numFmtId="0" fontId="13" fillId="17" borderId="7" xfId="2" applyFont="1" applyFill="1" applyBorder="1" applyAlignment="1">
      <alignment vertical="center" wrapText="1"/>
    </xf>
    <xf numFmtId="0" fontId="11" fillId="2" borderId="30" xfId="2" applyFont="1" applyFill="1" applyBorder="1" applyAlignment="1">
      <alignment horizontal="right" vertical="center" indent="1"/>
    </xf>
    <xf numFmtId="0" fontId="13" fillId="2" borderId="7" xfId="2" applyFont="1" applyFill="1" applyBorder="1" applyAlignment="1">
      <alignment horizontal="left" vertical="center" wrapText="1"/>
    </xf>
    <xf numFmtId="0" fontId="11" fillId="2" borderId="30" xfId="2" applyFont="1" applyFill="1" applyBorder="1">
      <alignment horizontal="center" vertical="center"/>
    </xf>
    <xf numFmtId="165" fontId="11" fillId="2" borderId="7" xfId="14" applyNumberFormat="1" applyFont="1" applyFill="1" applyBorder="1" applyAlignment="1">
      <alignment horizontal="center" vertical="center"/>
    </xf>
    <xf numFmtId="165" fontId="11" fillId="2" borderId="30" xfId="2" applyNumberFormat="1" applyFont="1" applyFill="1" applyBorder="1" applyProtection="1">
      <alignment horizontal="center" vertical="center"/>
      <protection locked="0"/>
    </xf>
    <xf numFmtId="3" fontId="11" fillId="4" borderId="28" xfId="2" applyNumberFormat="1" applyFont="1" applyFill="1" applyBorder="1" applyAlignment="1">
      <alignment horizontal="right" vertical="center" indent="1"/>
    </xf>
    <xf numFmtId="3" fontId="11" fillId="4" borderId="6" xfId="2" applyNumberFormat="1" applyFont="1" applyFill="1" applyBorder="1" applyAlignment="1">
      <alignment horizontal="right" vertical="center" indent="1"/>
    </xf>
    <xf numFmtId="172" fontId="13" fillId="20" borderId="0" xfId="14" applyNumberFormat="1" applyFont="1" applyFill="1" applyBorder="1" applyAlignment="1" applyProtection="1">
      <alignment horizontal="center" vertical="center" shrinkToFit="1"/>
      <protection locked="0"/>
    </xf>
    <xf numFmtId="0" fontId="35" fillId="2" borderId="6" xfId="2" applyFont="1" applyFill="1" applyBorder="1" applyAlignment="1">
      <alignment vertical="center" wrapText="1"/>
    </xf>
    <xf numFmtId="3" fontId="1" fillId="0" borderId="0" xfId="2" applyNumberFormat="1" applyFont="1" applyAlignment="1" applyProtection="1">
      <alignment horizontal="right" vertical="center" indent="1"/>
      <protection locked="0"/>
    </xf>
    <xf numFmtId="3" fontId="1" fillId="0" borderId="0" xfId="2" applyNumberFormat="1" applyFont="1" applyAlignment="1">
      <alignment horizontal="right" vertical="center" indent="1"/>
    </xf>
    <xf numFmtId="3" fontId="1" fillId="0" borderId="7" xfId="2" applyNumberFormat="1" applyFont="1" applyBorder="1" applyAlignment="1">
      <alignment horizontal="right" vertical="center" indent="1"/>
    </xf>
    <xf numFmtId="165" fontId="1" fillId="0" borderId="12" xfId="2" applyNumberFormat="1" applyFont="1" applyBorder="1">
      <alignment horizontal="center" vertical="center"/>
    </xf>
    <xf numFmtId="165" fontId="1" fillId="0" borderId="0" xfId="2" applyNumberFormat="1" applyFont="1" applyAlignment="1">
      <alignment horizontal="right" vertical="center"/>
    </xf>
    <xf numFmtId="3" fontId="1" fillId="0" borderId="7" xfId="2" applyNumberFormat="1" applyFont="1" applyBorder="1" applyAlignment="1" applyProtection="1">
      <alignment horizontal="right" vertical="center" indent="1"/>
      <protection locked="0"/>
    </xf>
    <xf numFmtId="3" fontId="11" fillId="0" borderId="0" xfId="2" applyNumberFormat="1" applyFont="1" applyAlignment="1">
      <alignment horizontal="right" vertical="center" indent="1"/>
    </xf>
    <xf numFmtId="3" fontId="1" fillId="0" borderId="30" xfId="2" applyNumberFormat="1" applyFont="1" applyBorder="1" applyAlignment="1" applyProtection="1">
      <alignment horizontal="right" vertical="center" indent="1"/>
      <protection locked="0"/>
    </xf>
    <xf numFmtId="3" fontId="11" fillId="0" borderId="7" xfId="2" applyNumberFormat="1" applyFont="1" applyBorder="1" applyAlignment="1">
      <alignment horizontal="right" vertical="center" indent="1"/>
    </xf>
    <xf numFmtId="3" fontId="1" fillId="0" borderId="36" xfId="2" applyNumberFormat="1" applyFont="1" applyBorder="1" applyAlignment="1" applyProtection="1">
      <alignment horizontal="right" vertical="center" indent="1"/>
      <protection locked="0"/>
    </xf>
    <xf numFmtId="3" fontId="1" fillId="0" borderId="20" xfId="2" applyNumberFormat="1" applyFont="1" applyBorder="1" applyAlignment="1" applyProtection="1">
      <alignment horizontal="right" vertical="center" indent="1"/>
      <protection locked="0"/>
    </xf>
    <xf numFmtId="165" fontId="23" fillId="0" borderId="0" xfId="2" applyNumberFormat="1" applyFont="1" applyAlignment="1">
      <alignment horizontal="right" vertical="center"/>
    </xf>
    <xf numFmtId="0" fontId="24" fillId="0" borderId="0" xfId="2" applyFont="1">
      <alignment horizontal="center" vertical="center"/>
    </xf>
    <xf numFmtId="0" fontId="1" fillId="0" borderId="0" xfId="2" applyFont="1">
      <alignment horizontal="center" vertical="center"/>
    </xf>
    <xf numFmtId="0" fontId="35" fillId="0" borderId="0" xfId="2" applyFont="1" applyAlignment="1">
      <alignment horizontal="center" vertical="center" wrapText="1"/>
    </xf>
    <xf numFmtId="1" fontId="13" fillId="0" borderId="0" xfId="2" applyNumberFormat="1" applyFont="1" applyProtection="1">
      <alignment horizontal="center" vertical="center"/>
      <protection locked="0"/>
    </xf>
    <xf numFmtId="3" fontId="1" fillId="0" borderId="0" xfId="2" applyNumberFormat="1" applyFont="1" applyProtection="1">
      <alignment horizontal="center" vertical="center"/>
      <protection locked="0"/>
    </xf>
    <xf numFmtId="0" fontId="1" fillId="0" borderId="0" xfId="2" applyFont="1" applyAlignment="1">
      <alignment horizontal="left" vertical="center"/>
    </xf>
    <xf numFmtId="164" fontId="11" fillId="0" borderId="0" xfId="1" applyFont="1" applyAlignment="1"/>
    <xf numFmtId="0" fontId="30" fillId="0" borderId="0" xfId="2" applyFont="1" applyAlignment="1">
      <alignment vertical="center" wrapText="1"/>
    </xf>
    <xf numFmtId="38" fontId="1" fillId="2" borderId="6" xfId="2" applyNumberFormat="1" applyFont="1" applyFill="1" applyBorder="1" applyAlignment="1"/>
    <xf numFmtId="3" fontId="1" fillId="0" borderId="6" xfId="2" applyNumberFormat="1" applyFont="1" applyBorder="1" applyAlignment="1" applyProtection="1">
      <alignment horizontal="right" vertical="center" indent="1"/>
      <protection locked="0"/>
    </xf>
    <xf numFmtId="3" fontId="1" fillId="0" borderId="6" xfId="2" applyNumberFormat="1" applyFont="1" applyBorder="1" applyAlignment="1">
      <alignment horizontal="right" vertical="center" indent="1"/>
    </xf>
    <xf numFmtId="165" fontId="1" fillId="0" borderId="0" xfId="2" applyNumberFormat="1" applyFont="1" applyProtection="1">
      <alignment horizontal="center" vertical="center"/>
      <protection locked="0"/>
    </xf>
    <xf numFmtId="0" fontId="2" fillId="0" borderId="6" xfId="2" applyFont="1" applyBorder="1" applyAlignment="1"/>
    <xf numFmtId="0" fontId="31" fillId="4" borderId="56" xfId="0" applyFont="1" applyFill="1" applyBorder="1" applyAlignment="1">
      <alignment horizontal="left" vertical="center"/>
    </xf>
    <xf numFmtId="0" fontId="13" fillId="22" borderId="6" xfId="2" applyFont="1" applyFill="1" applyBorder="1" applyAlignment="1">
      <alignment horizontal="center" vertical="center" wrapText="1"/>
    </xf>
    <xf numFmtId="3" fontId="11" fillId="22" borderId="6" xfId="15" applyNumberFormat="1" applyFont="1" applyFill="1" applyBorder="1" applyAlignment="1" applyProtection="1">
      <alignment horizontal="right" vertical="center" wrapText="1"/>
      <protection locked="0"/>
    </xf>
    <xf numFmtId="3" fontId="13" fillId="22" borderId="6" xfId="2" applyNumberFormat="1" applyFont="1" applyFill="1" applyBorder="1" applyAlignment="1">
      <alignment horizontal="right" vertical="center" indent="1"/>
    </xf>
    <xf numFmtId="9" fontId="11" fillId="2" borderId="6" xfId="16" applyFont="1" applyFill="1" applyBorder="1" applyAlignment="1" applyProtection="1">
      <alignment horizontal="right" vertical="center" wrapText="1"/>
      <protection locked="0"/>
    </xf>
    <xf numFmtId="43" fontId="11" fillId="2" borderId="6" xfId="14" applyFont="1" applyFill="1" applyBorder="1" applyAlignment="1" applyProtection="1">
      <alignment horizontal="center" vertical="center" wrapText="1"/>
      <protection locked="0"/>
    </xf>
    <xf numFmtId="2" fontId="11" fillId="2" borderId="6" xfId="2" applyNumberFormat="1" applyFont="1" applyFill="1" applyBorder="1" applyAlignment="1" applyProtection="1">
      <alignment horizontal="right" vertical="center" wrapText="1"/>
      <protection locked="0"/>
    </xf>
    <xf numFmtId="2" fontId="11" fillId="2" borderId="6" xfId="2" applyNumberFormat="1" applyFont="1" applyFill="1" applyBorder="1" applyAlignment="1" applyProtection="1">
      <alignment horizontal="center" vertical="center" wrapText="1"/>
      <protection locked="0"/>
    </xf>
    <xf numFmtId="1" fontId="11" fillId="11" borderId="6" xfId="2" applyNumberFormat="1" applyFont="1" applyFill="1" applyBorder="1" applyAlignment="1" applyProtection="1">
      <alignment horizontal="left" vertical="center" wrapText="1"/>
      <protection locked="0"/>
    </xf>
    <xf numFmtId="0" fontId="13" fillId="2" borderId="14" xfId="2" applyFont="1" applyFill="1" applyBorder="1" applyAlignment="1">
      <alignment horizontal="left" vertical="center" wrapText="1"/>
    </xf>
    <xf numFmtId="0" fontId="0" fillId="0" borderId="0" xfId="0" applyAlignment="1">
      <alignment wrapText="1"/>
    </xf>
    <xf numFmtId="0" fontId="27" fillId="7" borderId="0" xfId="2" applyFont="1" applyFill="1" applyAlignment="1">
      <alignment horizontal="left" vertical="center" wrapText="1"/>
    </xf>
    <xf numFmtId="0" fontId="22" fillId="8" borderId="6" xfId="0" applyFont="1" applyFill="1" applyBorder="1" applyAlignment="1">
      <alignment horizontal="left" vertical="center" wrapText="1"/>
    </xf>
    <xf numFmtId="0" fontId="31" fillId="4" borderId="6" xfId="0" applyFont="1" applyFill="1" applyBorder="1" applyAlignment="1">
      <alignment horizontal="left" vertical="center"/>
    </xf>
    <xf numFmtId="0" fontId="31" fillId="4" borderId="0" xfId="0" applyFont="1" applyFill="1" applyAlignment="1">
      <alignment horizontal="left" vertical="center"/>
    </xf>
    <xf numFmtId="0" fontId="38" fillId="0" borderId="61" xfId="0" applyFont="1" applyBorder="1" applyAlignment="1">
      <alignment horizontal="left" vertical="top" wrapText="1"/>
    </xf>
    <xf numFmtId="0" fontId="37" fillId="0" borderId="61" xfId="0" applyFont="1" applyBorder="1" applyAlignment="1">
      <alignment horizontal="left" vertical="top" wrapText="1"/>
    </xf>
    <xf numFmtId="167" fontId="11" fillId="2" borderId="17" xfId="2" applyNumberFormat="1" applyFont="1" applyFill="1" applyBorder="1" applyAlignment="1">
      <alignment horizontal="right" vertical="center" indent="1"/>
    </xf>
    <xf numFmtId="0" fontId="2" fillId="17" borderId="28" xfId="2" applyFont="1" applyFill="1" applyBorder="1" applyAlignment="1"/>
    <xf numFmtId="0" fontId="35" fillId="2" borderId="54" xfId="2" applyFont="1" applyFill="1" applyBorder="1" applyAlignment="1">
      <alignment vertical="center" wrapText="1"/>
    </xf>
    <xf numFmtId="165" fontId="11" fillId="20" borderId="62" xfId="4" applyNumberFormat="1" applyFont="1" applyFill="1" applyBorder="1" applyAlignment="1" applyProtection="1">
      <alignment horizontal="right" vertical="center" shrinkToFit="1"/>
      <protection locked="0"/>
    </xf>
    <xf numFmtId="0" fontId="1" fillId="2" borderId="51" xfId="2" applyFont="1" applyFill="1" applyBorder="1" applyAlignment="1" applyProtection="1">
      <protection locked="0"/>
    </xf>
    <xf numFmtId="165" fontId="11" fillId="2" borderId="39" xfId="4" applyNumberFormat="1" applyFont="1" applyFill="1" applyBorder="1" applyAlignment="1" applyProtection="1">
      <alignment horizontal="center" vertical="center" shrinkToFit="1"/>
      <protection locked="0"/>
    </xf>
    <xf numFmtId="165" fontId="11" fillId="2" borderId="37" xfId="4" applyNumberFormat="1" applyFont="1" applyFill="1" applyBorder="1" applyAlignment="1" applyProtection="1">
      <alignment horizontal="center" vertical="center" shrinkToFit="1"/>
      <protection locked="0"/>
    </xf>
    <xf numFmtId="0" fontId="11" fillId="2" borderId="0" xfId="2" applyFont="1" applyFill="1" applyAlignment="1">
      <alignment vertical="center" wrapText="1"/>
    </xf>
    <xf numFmtId="3" fontId="11" fillId="4" borderId="6" xfId="0" applyNumberFormat="1" applyFont="1" applyFill="1" applyBorder="1" applyAlignment="1">
      <alignment horizontal="center" vertical="center"/>
    </xf>
    <xf numFmtId="3" fontId="11" fillId="20" borderId="6" xfId="0" applyNumberFormat="1" applyFont="1" applyFill="1" applyBorder="1" applyAlignment="1">
      <alignment horizontal="center" vertical="center"/>
    </xf>
    <xf numFmtId="0" fontId="39" fillId="5" borderId="6" xfId="2" applyFont="1" applyFill="1" applyBorder="1" applyAlignment="1">
      <alignment horizontal="left" vertical="center" wrapText="1"/>
    </xf>
    <xf numFmtId="2" fontId="13" fillId="17" borderId="6" xfId="2" applyNumberFormat="1" applyFont="1" applyFill="1" applyBorder="1" applyAlignment="1">
      <alignment vertical="center"/>
    </xf>
    <xf numFmtId="9" fontId="13" fillId="17" borderId="6" xfId="16" applyFont="1" applyFill="1" applyBorder="1" applyAlignment="1">
      <alignment vertical="center"/>
    </xf>
    <xf numFmtId="172" fontId="13" fillId="22" borderId="6" xfId="14" applyNumberFormat="1" applyFont="1" applyFill="1" applyBorder="1" applyAlignment="1" applyProtection="1">
      <alignment horizontal="center" vertical="center" shrinkToFit="1"/>
      <protection locked="0"/>
    </xf>
    <xf numFmtId="165" fontId="11" fillId="22" borderId="6" xfId="4" applyNumberFormat="1" applyFont="1" applyFill="1" applyBorder="1" applyAlignment="1" applyProtection="1">
      <alignment horizontal="center" vertical="center" shrinkToFit="1"/>
      <protection locked="0"/>
    </xf>
    <xf numFmtId="0" fontId="13" fillId="17" borderId="6" xfId="2" applyFont="1" applyFill="1" applyBorder="1" applyAlignment="1">
      <alignment vertical="center"/>
    </xf>
    <xf numFmtId="0" fontId="13" fillId="4" borderId="28" xfId="2" applyFont="1" applyFill="1" applyBorder="1" applyAlignment="1">
      <alignment horizontal="center" vertical="center" wrapText="1"/>
    </xf>
    <xf numFmtId="0" fontId="13" fillId="22" borderId="28" xfId="2" applyFont="1" applyFill="1" applyBorder="1" applyAlignment="1">
      <alignment horizontal="center" vertical="center" wrapText="1"/>
    </xf>
    <xf numFmtId="0" fontId="13" fillId="4" borderId="28" xfId="0" applyFont="1" applyFill="1" applyBorder="1" applyAlignment="1">
      <alignment horizontal="center" vertical="center" wrapText="1"/>
    </xf>
    <xf numFmtId="0" fontId="35" fillId="22" borderId="58" xfId="2" applyFont="1" applyFill="1" applyBorder="1" applyAlignment="1">
      <alignment vertical="center" wrapText="1"/>
    </xf>
    <xf numFmtId="165" fontId="11" fillId="22" borderId="32" xfId="4" applyNumberFormat="1" applyFont="1" applyFill="1" applyBorder="1" applyAlignment="1" applyProtection="1">
      <alignment horizontal="right" vertical="center" shrinkToFit="1"/>
      <protection locked="0"/>
    </xf>
    <xf numFmtId="0" fontId="39" fillId="5" borderId="29" xfId="2" applyFont="1" applyFill="1" applyBorder="1" applyAlignment="1">
      <alignment horizontal="left" vertical="center" wrapText="1"/>
    </xf>
    <xf numFmtId="0" fontId="27" fillId="6" borderId="0" xfId="0" applyFont="1" applyFill="1" applyAlignment="1">
      <alignment vertical="center" wrapText="1"/>
    </xf>
    <xf numFmtId="3" fontId="11" fillId="2" borderId="0" xfId="11" applyNumberFormat="1" applyFont="1" applyFill="1" applyAlignment="1" applyProtection="1">
      <alignment horizontal="center" vertical="center"/>
      <protection locked="0"/>
    </xf>
    <xf numFmtId="0" fontId="13" fillId="8" borderId="6" xfId="10" applyFont="1" applyFill="1" applyBorder="1" applyAlignment="1">
      <alignment vertical="center" wrapText="1"/>
      <protection locked="0"/>
    </xf>
    <xf numFmtId="0" fontId="0" fillId="0" borderId="67" xfId="0" applyBorder="1"/>
    <xf numFmtId="3" fontId="11" fillId="20" borderId="9" xfId="4" applyNumberFormat="1" applyFont="1" applyFill="1" applyBorder="1" applyAlignment="1">
      <alignment horizontal="right" vertical="center" indent="1"/>
    </xf>
    <xf numFmtId="3" fontId="11" fillId="2" borderId="9" xfId="4" applyNumberFormat="1" applyFont="1" applyFill="1" applyBorder="1" applyAlignment="1">
      <alignment horizontal="right" vertical="center" indent="1"/>
    </xf>
    <xf numFmtId="0" fontId="27" fillId="24" borderId="0" xfId="0" applyFont="1" applyFill="1" applyAlignment="1">
      <alignment vertical="center" wrapText="1"/>
    </xf>
    <xf numFmtId="0" fontId="31" fillId="4" borderId="6" xfId="0" applyFont="1" applyFill="1" applyBorder="1" applyAlignment="1">
      <alignment horizontal="center" vertical="center"/>
    </xf>
    <xf numFmtId="0" fontId="31" fillId="4" borderId="0" xfId="0" applyFont="1" applyFill="1" applyAlignment="1">
      <alignment horizontal="center" vertical="center"/>
    </xf>
    <xf numFmtId="0" fontId="31" fillId="4" borderId="56" xfId="0" applyFont="1" applyFill="1" applyBorder="1" applyAlignment="1">
      <alignment horizontal="center" vertical="center"/>
    </xf>
    <xf numFmtId="0" fontId="22" fillId="8" borderId="0" xfId="0" applyFont="1" applyFill="1" applyAlignment="1">
      <alignment horizontal="left" vertical="center" wrapText="1"/>
    </xf>
    <xf numFmtId="3" fontId="11" fillId="9" borderId="0" xfId="4" applyNumberFormat="1" applyFont="1" applyFill="1" applyAlignment="1" applyProtection="1">
      <alignment horizontal="right" vertical="center" indent="1"/>
      <protection locked="0"/>
    </xf>
    <xf numFmtId="3" fontId="11" fillId="5" borderId="0" xfId="4" applyNumberFormat="1" applyFont="1" applyFill="1" applyAlignment="1" applyProtection="1">
      <alignment horizontal="right" vertical="center" indent="1"/>
      <protection locked="0"/>
    </xf>
    <xf numFmtId="3" fontId="11" fillId="2" borderId="0" xfId="4" applyNumberFormat="1" applyFont="1" applyFill="1" applyAlignment="1" applyProtection="1">
      <alignment horizontal="right" vertical="center" indent="1"/>
      <protection locked="0"/>
    </xf>
    <xf numFmtId="4" fontId="11" fillId="2" borderId="0" xfId="4" applyNumberFormat="1" applyFont="1" applyFill="1" applyAlignment="1" applyProtection="1">
      <alignment horizontal="right" vertical="center" indent="1"/>
      <protection locked="0"/>
    </xf>
    <xf numFmtId="3" fontId="11" fillId="4" borderId="0" xfId="4" applyNumberFormat="1" applyFont="1" applyFill="1" applyAlignment="1">
      <alignment horizontal="right" vertical="center" indent="1"/>
    </xf>
    <xf numFmtId="3" fontId="11" fillId="20" borderId="0" xfId="4" applyNumberFormat="1" applyFont="1" applyFill="1" applyAlignment="1">
      <alignment horizontal="right" vertical="center" indent="1"/>
    </xf>
    <xf numFmtId="3" fontId="11" fillId="2" borderId="0" xfId="4" applyNumberFormat="1" applyFont="1" applyFill="1" applyAlignment="1">
      <alignment horizontal="right" vertical="center" indent="1"/>
    </xf>
    <xf numFmtId="0" fontId="40" fillId="0" borderId="0" xfId="0" applyFont="1" applyAlignment="1">
      <alignment horizontal="center"/>
    </xf>
    <xf numFmtId="0" fontId="21" fillId="7" borderId="0" xfId="2" applyFont="1" applyFill="1" applyAlignment="1">
      <alignment horizontal="center" vertical="center" wrapText="1"/>
    </xf>
    <xf numFmtId="9" fontId="21" fillId="7" borderId="0" xfId="16" applyFont="1" applyFill="1" applyAlignment="1">
      <alignment horizontal="center" vertical="center" wrapText="1"/>
    </xf>
    <xf numFmtId="0" fontId="31" fillId="4" borderId="6" xfId="0" applyFont="1" applyFill="1" applyBorder="1" applyAlignment="1">
      <alignment horizontal="left" vertical="center" wrapText="1"/>
    </xf>
    <xf numFmtId="0" fontId="41" fillId="0" borderId="0" xfId="0" applyFont="1"/>
    <xf numFmtId="0" fontId="18" fillId="5" borderId="3" xfId="0" applyFont="1" applyFill="1" applyBorder="1" applyAlignment="1">
      <alignment horizontal="left" vertical="top" wrapText="1"/>
    </xf>
    <xf numFmtId="0" fontId="13" fillId="8" borderId="0" xfId="0" applyFont="1" applyFill="1" applyAlignment="1">
      <alignment horizontal="left" vertical="center" wrapText="1"/>
    </xf>
    <xf numFmtId="0" fontId="13" fillId="2" borderId="0" xfId="11" applyFont="1" applyFill="1" applyAlignment="1" applyProtection="1">
      <alignment horizontal="center" vertical="center" wrapText="1"/>
      <protection locked="0"/>
    </xf>
    <xf numFmtId="0" fontId="0" fillId="8" borderId="7" xfId="0" applyFill="1" applyBorder="1" applyAlignment="1">
      <alignment vertical="center" wrapText="1"/>
    </xf>
    <xf numFmtId="170" fontId="13" fillId="2" borderId="6" xfId="11" applyNumberFormat="1" applyFont="1" applyFill="1" applyBorder="1" applyAlignment="1" applyProtection="1">
      <alignment horizontal="left" vertical="center" wrapText="1"/>
      <protection locked="0"/>
    </xf>
    <xf numFmtId="0" fontId="18" fillId="5" borderId="0" xfId="0" applyFont="1" applyFill="1" applyAlignment="1">
      <alignment horizontal="left" vertical="top" wrapText="1"/>
    </xf>
    <xf numFmtId="0" fontId="27" fillId="6" borderId="0" xfId="0" applyFont="1" applyFill="1" applyAlignment="1">
      <alignment horizontal="center" vertical="center" wrapText="1"/>
    </xf>
    <xf numFmtId="0" fontId="27" fillId="6" borderId="0" xfId="0" applyFont="1" applyFill="1" applyAlignment="1">
      <alignment horizontal="center" vertical="top" wrapText="1"/>
    </xf>
    <xf numFmtId="0" fontId="18" fillId="5" borderId="2" xfId="0" applyFont="1" applyFill="1" applyBorder="1" applyAlignment="1">
      <alignment horizontal="center" vertical="center" wrapText="1"/>
    </xf>
    <xf numFmtId="0" fontId="18" fillId="5" borderId="2" xfId="0" applyFont="1" applyFill="1" applyBorder="1" applyAlignment="1">
      <alignment horizontal="left" vertical="top" wrapText="1"/>
    </xf>
    <xf numFmtId="0" fontId="15" fillId="4" borderId="0" xfId="0" applyFont="1" applyFill="1" applyAlignment="1">
      <alignment horizontal="left" vertical="center" wrapText="1"/>
    </xf>
    <xf numFmtId="0" fontId="19" fillId="5" borderId="15" xfId="2" applyFont="1" applyFill="1" applyBorder="1" applyAlignment="1">
      <alignment horizontal="left" vertical="center" wrapText="1"/>
    </xf>
    <xf numFmtId="165" fontId="0" fillId="2" borderId="0" xfId="14" applyNumberFormat="1" applyFont="1" applyFill="1" applyBorder="1" applyAlignment="1">
      <alignment horizontal="center" vertical="center"/>
    </xf>
    <xf numFmtId="0" fontId="13" fillId="2" borderId="0" xfId="10" applyFont="1" applyFill="1" applyBorder="1" applyAlignment="1">
      <alignment horizontal="center" vertical="center"/>
      <protection locked="0"/>
    </xf>
    <xf numFmtId="0" fontId="13" fillId="8" borderId="0" xfId="0" applyFont="1" applyFill="1" applyAlignment="1">
      <alignment horizontal="right" vertical="center" wrapText="1"/>
    </xf>
    <xf numFmtId="9" fontId="13" fillId="8" borderId="0" xfId="16" applyFont="1" applyFill="1" applyAlignment="1">
      <alignment horizontal="left" vertical="center" wrapText="1"/>
    </xf>
    <xf numFmtId="9" fontId="13" fillId="8" borderId="0" xfId="16" applyFont="1" applyFill="1" applyAlignment="1">
      <alignment horizontal="right" vertical="center" wrapText="1"/>
    </xf>
    <xf numFmtId="0" fontId="11" fillId="8" borderId="9" xfId="11" applyFont="1" applyFill="1" applyBorder="1" applyAlignment="1">
      <alignment horizontal="left" vertical="center" wrapText="1"/>
    </xf>
    <xf numFmtId="0" fontId="0" fillId="2" borderId="0" xfId="0" applyFill="1" applyAlignment="1" applyProtection="1">
      <alignment horizontal="left" vertical="center"/>
      <protection locked="0"/>
    </xf>
    <xf numFmtId="0" fontId="13" fillId="8" borderId="6" xfId="10" applyFont="1" applyFill="1" applyBorder="1" applyAlignment="1">
      <alignment horizontal="left" vertical="center" wrapText="1"/>
      <protection locked="0"/>
    </xf>
    <xf numFmtId="10" fontId="11" fillId="2" borderId="7" xfId="12" applyNumberFormat="1" applyFont="1" applyFill="1" applyBorder="1" applyAlignment="1">
      <alignment horizontal="center" vertical="center"/>
    </xf>
    <xf numFmtId="170" fontId="13" fillId="2" borderId="6" xfId="11" applyNumberFormat="1" applyFont="1" applyFill="1" applyBorder="1" applyAlignment="1" applyProtection="1">
      <alignment horizontal="center" vertical="center" wrapText="1"/>
      <protection locked="0"/>
    </xf>
    <xf numFmtId="0" fontId="11" fillId="8" borderId="6" xfId="10" applyFont="1" applyFill="1" applyBorder="1" applyAlignment="1" applyProtection="1">
      <alignment vertical="center" wrapText="1"/>
    </xf>
    <xf numFmtId="0" fontId="11" fillId="16" borderId="9" xfId="0" applyFont="1" applyFill="1" applyBorder="1" applyAlignment="1">
      <alignment horizontal="center"/>
    </xf>
    <xf numFmtId="0" fontId="18" fillId="5" borderId="0" xfId="0" applyFont="1" applyFill="1" applyAlignment="1">
      <alignment horizontal="center" vertical="center" wrapText="1"/>
    </xf>
    <xf numFmtId="0" fontId="18" fillId="5" borderId="51" xfId="0" applyFont="1" applyFill="1" applyBorder="1" applyAlignment="1">
      <alignment horizontal="center" vertical="center" wrapText="1"/>
    </xf>
    <xf numFmtId="164" fontId="22" fillId="2" borderId="68" xfId="1" applyFont="1" applyFill="1" applyBorder="1">
      <alignment vertical="top"/>
    </xf>
    <xf numFmtId="9" fontId="18" fillId="5" borderId="51" xfId="16" applyFont="1" applyFill="1" applyBorder="1" applyAlignment="1">
      <alignment horizontal="center" vertical="center" wrapText="1"/>
    </xf>
    <xf numFmtId="9" fontId="11" fillId="9" borderId="17" xfId="16" applyFont="1" applyFill="1" applyBorder="1" applyAlignment="1" applyProtection="1">
      <alignment horizontal="right" vertical="center" indent="1"/>
      <protection locked="0"/>
    </xf>
    <xf numFmtId="9" fontId="11" fillId="5" borderId="17" xfId="16" applyFont="1" applyFill="1" applyBorder="1" applyAlignment="1" applyProtection="1">
      <alignment horizontal="right" vertical="center" indent="1"/>
      <protection locked="0"/>
    </xf>
    <xf numFmtId="9" fontId="11" fillId="2" borderId="17" xfId="16" applyFont="1" applyFill="1" applyBorder="1" applyAlignment="1" applyProtection="1">
      <alignment horizontal="right" vertical="center" indent="1"/>
      <protection locked="0"/>
    </xf>
    <xf numFmtId="9" fontId="11" fillId="4" borderId="23" xfId="16" applyFont="1" applyFill="1" applyBorder="1" applyAlignment="1">
      <alignment horizontal="right" vertical="center" indent="1"/>
    </xf>
    <xf numFmtId="173" fontId="11" fillId="5" borderId="17" xfId="16" applyNumberFormat="1" applyFont="1" applyFill="1" applyBorder="1" applyAlignment="1" applyProtection="1">
      <alignment horizontal="right" vertical="center" indent="1"/>
      <protection locked="0"/>
    </xf>
    <xf numFmtId="173" fontId="11" fillId="2" borderId="17" xfId="16" applyNumberFormat="1" applyFont="1" applyFill="1" applyBorder="1" applyAlignment="1" applyProtection="1">
      <alignment horizontal="right" vertical="center" indent="1"/>
      <protection locked="0"/>
    </xf>
    <xf numFmtId="9" fontId="22" fillId="8" borderId="0" xfId="0" applyNumberFormat="1" applyFont="1" applyFill="1" applyAlignment="1">
      <alignment horizontal="left" vertical="center" wrapText="1"/>
    </xf>
    <xf numFmtId="0" fontId="11" fillId="0" borderId="17" xfId="0" applyFont="1" applyBorder="1" applyAlignment="1">
      <alignment vertical="center"/>
    </xf>
    <xf numFmtId="0" fontId="11" fillId="0" borderId="28" xfId="0" applyFont="1" applyBorder="1" applyAlignment="1">
      <alignment vertical="center"/>
    </xf>
    <xf numFmtId="0" fontId="11" fillId="0" borderId="6" xfId="0" applyFont="1" applyBorder="1" applyAlignment="1">
      <alignment horizontal="center" vertical="center"/>
    </xf>
    <xf numFmtId="0" fontId="11" fillId="8" borderId="6" xfId="2" applyFont="1" applyFill="1" applyBorder="1" applyAlignment="1">
      <alignment vertical="center"/>
    </xf>
    <xf numFmtId="0" fontId="11" fillId="2" borderId="9" xfId="0" applyFont="1" applyFill="1" applyBorder="1" applyAlignment="1">
      <alignment horizontal="center"/>
    </xf>
    <xf numFmtId="0" fontId="0" fillId="2" borderId="9" xfId="0" applyFill="1" applyBorder="1" applyAlignment="1">
      <alignment horizontal="center"/>
    </xf>
    <xf numFmtId="0" fontId="11" fillId="16" borderId="23" xfId="0" applyFont="1" applyFill="1" applyBorder="1" applyAlignment="1">
      <alignment horizontal="center"/>
    </xf>
    <xf numFmtId="0" fontId="11" fillId="2" borderId="15" xfId="0" applyFont="1" applyFill="1" applyBorder="1" applyAlignment="1">
      <alignment horizontal="center"/>
    </xf>
    <xf numFmtId="9" fontId="24" fillId="2" borderId="0" xfId="16" applyFont="1" applyFill="1" applyAlignment="1">
      <alignment horizontal="center" vertical="center"/>
    </xf>
    <xf numFmtId="9" fontId="40" fillId="0" borderId="0" xfId="16" applyFont="1" applyAlignment="1">
      <alignment horizontal="center"/>
    </xf>
    <xf numFmtId="0" fontId="11" fillId="0" borderId="0" xfId="2" applyFont="1" applyAlignment="1">
      <alignment horizontal="left" vertical="center" wrapText="1"/>
    </xf>
    <xf numFmtId="0" fontId="13" fillId="2" borderId="0" xfId="2" applyFont="1" applyFill="1" applyAlignment="1">
      <alignment vertical="top" wrapText="1"/>
    </xf>
    <xf numFmtId="9" fontId="19" fillId="17" borderId="0" xfId="16" applyFont="1" applyFill="1" applyAlignment="1">
      <alignment horizontal="center" vertical="center" wrapText="1"/>
    </xf>
    <xf numFmtId="9" fontId="11" fillId="6" borderId="0" xfId="16" applyFont="1" applyFill="1" applyAlignment="1">
      <alignment horizontal="center" vertical="center" wrapText="1"/>
    </xf>
    <xf numFmtId="9" fontId="0" fillId="0" borderId="0" xfId="16" applyFont="1" applyAlignment="1">
      <alignment horizontal="center"/>
    </xf>
    <xf numFmtId="3" fontId="13" fillId="17" borderId="9" xfId="11" applyNumberFormat="1" applyFont="1" applyFill="1" applyBorder="1" applyAlignment="1">
      <alignment horizontal="center" vertical="center" wrapText="1"/>
    </xf>
    <xf numFmtId="10" fontId="11" fillId="2" borderId="8" xfId="12" applyNumberFormat="1" applyFont="1" applyFill="1" applyBorder="1" applyAlignment="1">
      <alignment horizontal="center" vertical="center"/>
    </xf>
    <xf numFmtId="0" fontId="0" fillId="2" borderId="6" xfId="0" applyFill="1" applyBorder="1" applyAlignment="1" applyProtection="1">
      <alignment vertical="center"/>
      <protection locked="0"/>
    </xf>
    <xf numFmtId="10" fontId="11" fillId="2" borderId="6" xfId="12" applyNumberFormat="1" applyFont="1" applyFill="1" applyBorder="1" applyAlignment="1">
      <alignment horizontal="center" vertical="center"/>
    </xf>
    <xf numFmtId="0" fontId="44" fillId="0" borderId="0" xfId="0" applyFont="1"/>
    <xf numFmtId="0" fontId="44" fillId="2" borderId="0" xfId="2" applyFont="1" applyFill="1" applyAlignment="1">
      <alignment vertical="center" wrapText="1"/>
    </xf>
    <xf numFmtId="0" fontId="44" fillId="2" borderId="0" xfId="2" applyFont="1" applyFill="1" applyAlignment="1">
      <alignment horizontal="left" vertical="center"/>
    </xf>
    <xf numFmtId="0" fontId="13" fillId="17" borderId="0" xfId="0" applyFont="1" applyFill="1" applyAlignment="1">
      <alignment horizontal="left" vertical="center" wrapText="1"/>
    </xf>
    <xf numFmtId="0" fontId="11" fillId="7" borderId="0" xfId="2" applyFont="1" applyFill="1" applyAlignment="1">
      <alignment horizontal="center" vertical="center" wrapText="1"/>
    </xf>
    <xf numFmtId="0" fontId="27" fillId="6" borderId="0" xfId="0" applyFont="1" applyFill="1" applyAlignment="1">
      <alignment vertical="top" wrapText="1"/>
    </xf>
    <xf numFmtId="0" fontId="45" fillId="0" borderId="0" xfId="0" applyFont="1"/>
    <xf numFmtId="0" fontId="45" fillId="2" borderId="0" xfId="0" applyFont="1" applyFill="1"/>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9" fontId="45" fillId="2" borderId="0" xfId="16" applyFont="1" applyFill="1"/>
    <xf numFmtId="9" fontId="15" fillId="2" borderId="0" xfId="16" applyFont="1" applyFill="1" applyAlignment="1">
      <alignment horizontal="center" vertical="center" wrapText="1"/>
    </xf>
    <xf numFmtId="9" fontId="31" fillId="2" borderId="0" xfId="16" applyFont="1" applyFill="1" applyAlignment="1">
      <alignment horizontal="center" vertical="center" wrapText="1"/>
    </xf>
    <xf numFmtId="9" fontId="45" fillId="2" borderId="0" xfId="0" applyNumberFormat="1" applyFont="1" applyFill="1"/>
    <xf numFmtId="10" fontId="45" fillId="2" borderId="0" xfId="16" applyNumberFormat="1" applyFont="1" applyFill="1"/>
    <xf numFmtId="0" fontId="2" fillId="2" borderId="9" xfId="11" applyFont="1" applyFill="1" applyBorder="1" applyAlignment="1">
      <alignment horizontal="left" vertical="center" wrapText="1"/>
    </xf>
    <xf numFmtId="0" fontId="2" fillId="2" borderId="8" xfId="11" applyFont="1" applyFill="1" applyBorder="1" applyAlignment="1">
      <alignment horizontal="left" vertical="center" wrapText="1"/>
    </xf>
    <xf numFmtId="0" fontId="46" fillId="2" borderId="0" xfId="0" applyFont="1" applyFill="1" applyAlignment="1">
      <alignment horizontal="left" vertical="center" wrapText="1"/>
    </xf>
    <xf numFmtId="10" fontId="46" fillId="2" borderId="0" xfId="16" applyNumberFormat="1" applyFont="1" applyFill="1" applyAlignment="1">
      <alignment horizontal="right" vertical="center" wrapText="1"/>
    </xf>
    <xf numFmtId="164" fontId="20" fillId="2" borderId="0" xfId="1" applyFont="1" applyFill="1">
      <alignment vertical="top"/>
    </xf>
    <xf numFmtId="164" fontId="47" fillId="2" borderId="0" xfId="1" applyFont="1" applyFill="1">
      <alignment vertical="top"/>
    </xf>
    <xf numFmtId="0" fontId="15" fillId="2" borderId="3" xfId="0" applyFont="1" applyFill="1" applyBorder="1" applyAlignment="1">
      <alignment horizontal="center" vertical="center" wrapText="1"/>
    </xf>
    <xf numFmtId="9" fontId="20" fillId="2" borderId="0" xfId="16" applyFont="1" applyFill="1" applyAlignment="1">
      <alignment vertical="top"/>
    </xf>
    <xf numFmtId="0" fontId="15" fillId="2" borderId="0" xfId="0" applyFont="1" applyFill="1" applyAlignment="1">
      <alignment horizontal="center" vertical="center" wrapText="1"/>
    </xf>
    <xf numFmtId="0" fontId="22" fillId="6" borderId="0" xfId="0" applyFont="1" applyFill="1" applyAlignment="1">
      <alignment vertical="center" wrapText="1"/>
    </xf>
    <xf numFmtId="0" fontId="47" fillId="2" borderId="0" xfId="0" applyFont="1" applyFill="1" applyAlignment="1">
      <alignment horizontal="left" vertical="center" wrapText="1"/>
    </xf>
    <xf numFmtId="0" fontId="0" fillId="0" borderId="6" xfId="0" applyBorder="1"/>
    <xf numFmtId="0" fontId="0" fillId="0" borderId="54" xfId="0" applyBorder="1"/>
    <xf numFmtId="0" fontId="0" fillId="0" borderId="32" xfId="0" applyBorder="1"/>
    <xf numFmtId="0" fontId="0" fillId="0" borderId="68" xfId="0" applyBorder="1"/>
    <xf numFmtId="0" fontId="0" fillId="0" borderId="70" xfId="0" applyBorder="1"/>
    <xf numFmtId="0" fontId="0" fillId="0" borderId="47" xfId="0" applyBorder="1"/>
    <xf numFmtId="10" fontId="13" fillId="8" borderId="0" xfId="16" applyNumberFormat="1" applyFont="1" applyFill="1" applyAlignment="1">
      <alignment horizontal="left" vertical="center" wrapText="1"/>
    </xf>
    <xf numFmtId="9" fontId="18" fillId="5" borderId="46" xfId="16" applyFont="1" applyFill="1" applyBorder="1" applyAlignment="1">
      <alignment horizontal="center" vertical="center" wrapText="1"/>
    </xf>
    <xf numFmtId="0" fontId="18" fillId="5" borderId="6" xfId="0" applyFont="1" applyFill="1" applyBorder="1" applyAlignment="1">
      <alignment horizontal="center" vertical="center" wrapText="1"/>
    </xf>
    <xf numFmtId="9" fontId="22" fillId="8" borderId="6" xfId="0" applyNumberFormat="1" applyFont="1" applyFill="1" applyBorder="1" applyAlignment="1">
      <alignment horizontal="left" vertical="center" wrapText="1"/>
    </xf>
    <xf numFmtId="0" fontId="31" fillId="4" borderId="9" xfId="0" applyFont="1" applyFill="1" applyBorder="1" applyAlignment="1">
      <alignment horizontal="center" vertical="center"/>
    </xf>
    <xf numFmtId="9" fontId="22" fillId="8" borderId="9" xfId="16" applyFont="1" applyFill="1" applyBorder="1" applyAlignment="1">
      <alignment horizontal="left" vertical="center" wrapText="1"/>
    </xf>
    <xf numFmtId="0" fontId="31" fillId="4" borderId="9" xfId="0" applyFont="1" applyFill="1" applyBorder="1" applyAlignment="1">
      <alignment horizontal="left" vertical="center"/>
    </xf>
    <xf numFmtId="9" fontId="21" fillId="7" borderId="6" xfId="16" applyFont="1" applyFill="1" applyBorder="1" applyAlignment="1">
      <alignment horizontal="center" vertical="center" wrapText="1"/>
    </xf>
    <xf numFmtId="9" fontId="21" fillId="7" borderId="6" xfId="2" applyNumberFormat="1" applyFont="1" applyFill="1" applyBorder="1" applyAlignment="1">
      <alignment horizontal="center" vertical="center" wrapText="1"/>
    </xf>
    <xf numFmtId="9" fontId="11" fillId="6" borderId="6" xfId="16" applyFont="1" applyFill="1" applyBorder="1" applyAlignment="1">
      <alignment horizontal="center" vertical="center" wrapText="1"/>
    </xf>
    <xf numFmtId="0" fontId="21" fillId="7" borderId="6" xfId="2" applyFont="1" applyFill="1" applyBorder="1" applyAlignment="1">
      <alignment horizontal="center" vertical="center" wrapText="1"/>
    </xf>
    <xf numFmtId="9" fontId="21" fillId="6" borderId="6" xfId="16" applyFont="1" applyFill="1" applyBorder="1" applyAlignment="1">
      <alignment horizontal="center" vertical="center" wrapText="1"/>
    </xf>
    <xf numFmtId="0" fontId="27" fillId="7" borderId="6" xfId="2" applyFont="1" applyFill="1" applyBorder="1" applyAlignment="1">
      <alignment horizontal="left" vertical="center" wrapText="1"/>
    </xf>
    <xf numFmtId="0" fontId="22" fillId="6" borderId="6" xfId="0" applyFont="1" applyFill="1" applyBorder="1" applyAlignment="1">
      <alignment vertical="center" wrapText="1"/>
    </xf>
    <xf numFmtId="0" fontId="27" fillId="6" borderId="6" xfId="0" applyFont="1" applyFill="1" applyBorder="1" applyAlignment="1">
      <alignment vertical="center" wrapText="1"/>
    </xf>
    <xf numFmtId="0" fontId="19" fillId="7" borderId="0" xfId="2" applyFont="1" applyFill="1" applyAlignment="1">
      <alignment horizontal="left" vertical="center" wrapText="1"/>
    </xf>
    <xf numFmtId="0" fontId="27" fillId="7" borderId="6" xfId="2" applyFont="1" applyFill="1" applyBorder="1" applyAlignment="1">
      <alignment horizontal="center" vertical="center" wrapText="1"/>
    </xf>
    <xf numFmtId="3" fontId="1" fillId="25" borderId="6" xfId="2" applyNumberFormat="1" applyFont="1" applyFill="1" applyBorder="1" applyAlignment="1" applyProtection="1">
      <alignment horizontal="right" vertical="center" indent="1"/>
      <protection locked="0"/>
    </xf>
    <xf numFmtId="3" fontId="2" fillId="0" borderId="6" xfId="2" applyNumberFormat="1" applyFont="1" applyBorder="1" applyAlignment="1"/>
    <xf numFmtId="164" fontId="48" fillId="2" borderId="0" xfId="1" applyFont="1" applyFill="1" applyAlignment="1">
      <alignment vertical="top" wrapText="1"/>
    </xf>
    <xf numFmtId="0" fontId="49" fillId="4" borderId="0" xfId="0" applyFont="1" applyFill="1" applyAlignment="1">
      <alignment horizontal="left" vertical="center" wrapText="1"/>
    </xf>
    <xf numFmtId="0" fontId="39" fillId="8" borderId="0" xfId="0" applyFont="1" applyFill="1" applyAlignment="1">
      <alignment horizontal="left" vertical="center" wrapText="1"/>
    </xf>
    <xf numFmtId="0" fontId="50" fillId="7" borderId="0" xfId="2" applyFont="1" applyFill="1" applyAlignment="1">
      <alignment horizontal="left" vertical="center" wrapText="1"/>
    </xf>
    <xf numFmtId="0" fontId="51" fillId="5" borderId="51" xfId="0" applyFont="1" applyFill="1" applyBorder="1" applyAlignment="1">
      <alignment horizontal="center" vertical="center" wrapText="1"/>
    </xf>
    <xf numFmtId="0" fontId="19" fillId="8" borderId="0" xfId="0" applyFont="1" applyFill="1" applyAlignment="1">
      <alignment horizontal="left" vertical="center" wrapText="1"/>
    </xf>
    <xf numFmtId="0" fontId="43" fillId="0" borderId="0" xfId="0" applyFont="1"/>
    <xf numFmtId="0" fontId="18" fillId="2" borderId="0" xfId="0" applyFont="1" applyFill="1"/>
    <xf numFmtId="9" fontId="11" fillId="25" borderId="17" xfId="16" applyFont="1" applyFill="1" applyBorder="1" applyAlignment="1" applyProtection="1">
      <alignment horizontal="right" vertical="center" indent="1"/>
      <protection locked="0"/>
    </xf>
    <xf numFmtId="175" fontId="11" fillId="5" borderId="17" xfId="16" applyNumberFormat="1" applyFont="1" applyFill="1" applyBorder="1" applyAlignment="1" applyProtection="1">
      <alignment horizontal="right" vertical="center" indent="1"/>
      <protection locked="0"/>
    </xf>
    <xf numFmtId="3" fontId="11" fillId="25" borderId="17" xfId="4" applyNumberFormat="1" applyFont="1" applyFill="1" applyBorder="1" applyAlignment="1" applyProtection="1">
      <alignment horizontal="right" vertical="center" indent="1"/>
      <protection locked="0"/>
    </xf>
    <xf numFmtId="0" fontId="0" fillId="0" borderId="6" xfId="0" applyBorder="1" applyAlignment="1">
      <alignment horizontal="left" vertical="top"/>
    </xf>
    <xf numFmtId="0" fontId="2" fillId="0" borderId="6" xfId="0" applyFont="1" applyBorder="1" applyAlignment="1">
      <alignment horizontal="left"/>
    </xf>
    <xf numFmtId="0" fontId="15" fillId="4" borderId="31" xfId="2" applyFont="1" applyFill="1" applyBorder="1">
      <alignment horizontal="center" vertical="center"/>
    </xf>
    <xf numFmtId="0" fontId="15" fillId="4" borderId="0" xfId="2" applyFont="1" applyFill="1">
      <alignment horizontal="center" vertical="center"/>
    </xf>
    <xf numFmtId="0" fontId="2" fillId="2" borderId="9" xfId="11" applyFont="1" applyFill="1" applyBorder="1" applyAlignment="1">
      <alignment horizontal="left" vertical="center" wrapText="1"/>
    </xf>
    <xf numFmtId="0" fontId="2" fillId="2" borderId="8" xfId="11" applyFont="1" applyFill="1" applyBorder="1" applyAlignment="1">
      <alignment horizontal="left" vertical="center" wrapText="1"/>
    </xf>
    <xf numFmtId="0" fontId="2" fillId="2" borderId="7" xfId="11" applyFont="1" applyFill="1" applyBorder="1" applyAlignment="1">
      <alignment horizontal="left" vertical="center" wrapText="1"/>
    </xf>
    <xf numFmtId="0" fontId="11" fillId="2" borderId="17" xfId="2" applyFont="1" applyFill="1" applyBorder="1" applyAlignment="1">
      <alignment horizontal="left" vertical="center"/>
    </xf>
    <xf numFmtId="0" fontId="11" fillId="2" borderId="6" xfId="2" applyFont="1" applyFill="1" applyBorder="1" applyAlignment="1">
      <alignment horizontal="left" vertical="center"/>
    </xf>
    <xf numFmtId="0" fontId="0" fillId="0" borderId="6" xfId="0" applyBorder="1" applyAlignment="1">
      <alignment horizontal="left"/>
    </xf>
    <xf numFmtId="0" fontId="13" fillId="8" borderId="0" xfId="0" applyFont="1" applyFill="1" applyAlignment="1">
      <alignment horizontal="left" vertical="center" wrapText="1"/>
    </xf>
    <xf numFmtId="0" fontId="2" fillId="2" borderId="6" xfId="11" applyFont="1" applyFill="1" applyBorder="1" applyAlignment="1">
      <alignment horizontal="left" vertical="top" wrapText="1"/>
    </xf>
    <xf numFmtId="0" fontId="11" fillId="8" borderId="54" xfId="11" applyFont="1" applyFill="1" applyBorder="1" applyAlignment="1">
      <alignment horizontal="center" vertical="center" wrapText="1"/>
    </xf>
    <xf numFmtId="0" fontId="11" fillId="8" borderId="69" xfId="11" applyFont="1" applyFill="1" applyBorder="1" applyAlignment="1">
      <alignment horizontal="center" vertical="center" wrapText="1"/>
    </xf>
    <xf numFmtId="0" fontId="11" fillId="8" borderId="6" xfId="11" applyFont="1" applyFill="1" applyBorder="1" applyAlignment="1">
      <alignment horizontal="center" vertical="center" wrapText="1"/>
    </xf>
    <xf numFmtId="0" fontId="11" fillId="8" borderId="9" xfId="11" applyFont="1" applyFill="1" applyBorder="1" applyAlignment="1">
      <alignment horizontal="center" vertical="center" wrapText="1"/>
    </xf>
    <xf numFmtId="0" fontId="11" fillId="8" borderId="32" xfId="11" applyFont="1" applyFill="1" applyBorder="1" applyAlignment="1">
      <alignment horizontal="center" vertical="center" wrapText="1"/>
    </xf>
    <xf numFmtId="0" fontId="11" fillId="8" borderId="52" xfId="11" applyFont="1" applyFill="1" applyBorder="1" applyAlignment="1">
      <alignment horizontal="center" vertical="center" wrapText="1"/>
    </xf>
    <xf numFmtId="0" fontId="11" fillId="2" borderId="6" xfId="2" applyFont="1" applyFill="1" applyBorder="1" applyAlignment="1">
      <alignment horizontal="center" vertical="center" wrapText="1"/>
    </xf>
    <xf numFmtId="0" fontId="19" fillId="8" borderId="22" xfId="2" applyFont="1" applyFill="1" applyBorder="1" applyAlignment="1">
      <alignment horizontal="center" vertical="center" wrapText="1"/>
    </xf>
    <xf numFmtId="0" fontId="19" fillId="8" borderId="0" xfId="2" applyFont="1" applyFill="1" applyAlignment="1">
      <alignment horizontal="center" vertical="center" wrapText="1"/>
    </xf>
    <xf numFmtId="0" fontId="19" fillId="8" borderId="30" xfId="2" applyFont="1" applyFill="1" applyBorder="1" applyAlignment="1">
      <alignment horizontal="center" vertical="center" wrapText="1"/>
    </xf>
    <xf numFmtId="0" fontId="13" fillId="2" borderId="17" xfId="2" applyFont="1" applyFill="1" applyBorder="1" applyAlignment="1">
      <alignment horizontal="left" vertical="top" wrapText="1"/>
    </xf>
    <xf numFmtId="0" fontId="13" fillId="2" borderId="28" xfId="2" applyFont="1" applyFill="1" applyBorder="1" applyAlignment="1">
      <alignment horizontal="left" vertical="top" wrapText="1"/>
    </xf>
    <xf numFmtId="0" fontId="11" fillId="0" borderId="6" xfId="0" applyFont="1" applyBorder="1" applyAlignment="1">
      <alignment horizontal="center" vertical="center"/>
    </xf>
    <xf numFmtId="0" fontId="11" fillId="16" borderId="9" xfId="0" applyFont="1" applyFill="1" applyBorder="1" applyAlignment="1">
      <alignment horizontal="center"/>
    </xf>
    <xf numFmtId="0" fontId="11" fillId="16" borderId="8" xfId="0" applyFont="1" applyFill="1" applyBorder="1" applyAlignment="1">
      <alignment horizontal="center"/>
    </xf>
    <xf numFmtId="0" fontId="11" fillId="16" borderId="7" xfId="0" applyFont="1" applyFill="1" applyBorder="1" applyAlignment="1">
      <alignment horizontal="center"/>
    </xf>
    <xf numFmtId="0" fontId="11" fillId="16" borderId="6" xfId="0" applyFont="1" applyFill="1" applyBorder="1" applyAlignment="1">
      <alignment horizontal="center"/>
    </xf>
    <xf numFmtId="0" fontId="11" fillId="8" borderId="9" xfId="2" applyFont="1" applyFill="1" applyBorder="1">
      <alignment horizontal="center" vertical="center"/>
    </xf>
    <xf numFmtId="0" fontId="11" fillId="8" borderId="8" xfId="2" applyFont="1" applyFill="1" applyBorder="1">
      <alignment horizontal="center" vertical="center"/>
    </xf>
    <xf numFmtId="0" fontId="11" fillId="8" borderId="7" xfId="2" applyFont="1" applyFill="1" applyBorder="1">
      <alignment horizontal="center" vertical="center"/>
    </xf>
    <xf numFmtId="0" fontId="11" fillId="0" borderId="9" xfId="0" applyFont="1" applyBorder="1" applyAlignment="1">
      <alignment horizontal="center" vertical="center"/>
    </xf>
    <xf numFmtId="0" fontId="11" fillId="7" borderId="0" xfId="2" applyFont="1" applyFill="1" applyAlignment="1">
      <alignment horizontal="left" vertical="center" wrapText="1"/>
    </xf>
    <xf numFmtId="0" fontId="13" fillId="17" borderId="0" xfId="0" applyFont="1" applyFill="1" applyAlignment="1">
      <alignment horizontal="left" vertical="center" wrapText="1"/>
    </xf>
    <xf numFmtId="165" fontId="13" fillId="2" borderId="58" xfId="4" applyNumberFormat="1" applyFont="1" applyFill="1" applyBorder="1" applyAlignment="1" applyProtection="1">
      <alignment horizontal="center" vertical="center" shrinkToFit="1"/>
      <protection locked="0"/>
    </xf>
    <xf numFmtId="165" fontId="13" fillId="2" borderId="28" xfId="4" applyNumberFormat="1" applyFont="1" applyFill="1" applyBorder="1" applyAlignment="1" applyProtection="1">
      <alignment horizontal="center" vertical="center" shrinkToFit="1"/>
      <protection locked="0"/>
    </xf>
    <xf numFmtId="172" fontId="13" fillId="7" borderId="58" xfId="14" applyNumberFormat="1" applyFont="1" applyFill="1" applyBorder="1" applyAlignment="1" applyProtection="1">
      <alignment horizontal="center" vertical="center" shrinkToFit="1"/>
      <protection locked="0"/>
    </xf>
    <xf numFmtId="172" fontId="13" fillId="7" borderId="27" xfId="14" applyNumberFormat="1" applyFont="1" applyFill="1" applyBorder="1" applyAlignment="1" applyProtection="1">
      <alignment horizontal="center" vertical="center" shrinkToFit="1"/>
      <protection locked="0"/>
    </xf>
    <xf numFmtId="172" fontId="13" fillId="7" borderId="34" xfId="14" applyNumberFormat="1" applyFont="1" applyFill="1" applyBorder="1" applyAlignment="1" applyProtection="1">
      <alignment horizontal="center" vertical="center" shrinkToFit="1"/>
      <protection locked="0"/>
    </xf>
    <xf numFmtId="172" fontId="13" fillId="9" borderId="58" xfId="14" applyNumberFormat="1" applyFont="1" applyFill="1" applyBorder="1" applyAlignment="1" applyProtection="1">
      <alignment horizontal="center" vertical="center" shrinkToFit="1"/>
      <protection locked="0"/>
    </xf>
    <xf numFmtId="172" fontId="13" fillId="9" borderId="27" xfId="14" applyNumberFormat="1" applyFont="1" applyFill="1" applyBorder="1" applyAlignment="1" applyProtection="1">
      <alignment horizontal="center" vertical="center" shrinkToFit="1"/>
      <protection locked="0"/>
    </xf>
    <xf numFmtId="172" fontId="13" fillId="9" borderId="34" xfId="14" applyNumberFormat="1" applyFont="1" applyFill="1" applyBorder="1" applyAlignment="1" applyProtection="1">
      <alignment horizontal="center" vertical="center" shrinkToFit="1"/>
      <protection locked="0"/>
    </xf>
    <xf numFmtId="172" fontId="13" fillId="5" borderId="58" xfId="14" applyNumberFormat="1" applyFont="1" applyFill="1" applyBorder="1" applyAlignment="1" applyProtection="1">
      <alignment horizontal="center" vertical="center" shrinkToFit="1"/>
      <protection locked="0"/>
    </xf>
    <xf numFmtId="172" fontId="13" fillId="5" borderId="27" xfId="14" applyNumberFormat="1" applyFont="1" applyFill="1" applyBorder="1" applyAlignment="1" applyProtection="1">
      <alignment horizontal="center" vertical="center" shrinkToFit="1"/>
      <protection locked="0"/>
    </xf>
    <xf numFmtId="172" fontId="13" fillId="5" borderId="34" xfId="14" applyNumberFormat="1" applyFont="1" applyFill="1" applyBorder="1" applyAlignment="1" applyProtection="1">
      <alignment horizontal="center" vertical="center" shrinkToFit="1"/>
      <protection locked="0"/>
    </xf>
    <xf numFmtId="1" fontId="13" fillId="4" borderId="58" xfId="0" applyNumberFormat="1" applyFont="1" applyFill="1" applyBorder="1" applyAlignment="1">
      <alignment horizontal="center" vertical="center" wrapText="1"/>
    </xf>
    <xf numFmtId="1" fontId="13" fillId="4" borderId="27" xfId="0" applyNumberFormat="1" applyFont="1" applyFill="1" applyBorder="1" applyAlignment="1">
      <alignment horizontal="center" vertical="center" wrapText="1"/>
    </xf>
    <xf numFmtId="1" fontId="13" fillId="4" borderId="28" xfId="0" applyNumberFormat="1" applyFont="1" applyFill="1" applyBorder="1" applyAlignment="1">
      <alignment horizontal="center" vertical="center" wrapText="1"/>
    </xf>
    <xf numFmtId="1" fontId="13" fillId="7" borderId="50" xfId="2" applyNumberFormat="1" applyFont="1" applyFill="1" applyBorder="1" applyProtection="1">
      <alignment horizontal="center" vertical="center"/>
      <protection locked="0"/>
    </xf>
    <xf numFmtId="1" fontId="13" fillId="7" borderId="30" xfId="2" applyNumberFormat="1" applyFont="1" applyFill="1" applyBorder="1" applyProtection="1">
      <alignment horizontal="center" vertical="center"/>
      <protection locked="0"/>
    </xf>
    <xf numFmtId="1" fontId="13" fillId="7" borderId="36" xfId="2" applyNumberFormat="1" applyFont="1" applyFill="1" applyBorder="1" applyProtection="1">
      <alignment horizontal="center" vertical="center"/>
      <protection locked="0"/>
    </xf>
    <xf numFmtId="1" fontId="13" fillId="10" borderId="63" xfId="2" applyNumberFormat="1" applyFont="1" applyFill="1" applyBorder="1" applyProtection="1">
      <alignment horizontal="center" vertical="center"/>
      <protection locked="0"/>
    </xf>
    <xf numFmtId="1" fontId="13" fillId="10" borderId="64" xfId="2" applyNumberFormat="1" applyFont="1" applyFill="1" applyBorder="1" applyProtection="1">
      <alignment horizontal="center" vertical="center"/>
      <protection locked="0"/>
    </xf>
    <xf numFmtId="1" fontId="13" fillId="10" borderId="48" xfId="2" applyNumberFormat="1" applyFont="1" applyFill="1" applyBorder="1" applyProtection="1">
      <alignment horizontal="center" vertical="center"/>
      <protection locked="0"/>
    </xf>
    <xf numFmtId="0" fontId="11" fillId="2" borderId="0" xfId="0" applyFont="1" applyFill="1" applyAlignment="1" applyProtection="1">
      <alignment horizontal="center" vertical="top" wrapText="1"/>
      <protection locked="0"/>
    </xf>
    <xf numFmtId="0" fontId="15" fillId="4" borderId="6" xfId="2" applyFont="1" applyFill="1" applyBorder="1">
      <alignment horizontal="center" vertical="center"/>
    </xf>
    <xf numFmtId="0" fontId="35" fillId="2" borderId="4" xfId="2" applyFont="1" applyFill="1" applyBorder="1" applyAlignment="1">
      <alignment horizontal="center" vertical="center" wrapText="1"/>
    </xf>
    <xf numFmtId="0" fontId="35" fillId="2" borderId="5" xfId="2" applyFont="1" applyFill="1" applyBorder="1" applyAlignment="1">
      <alignment horizontal="center" vertical="center" wrapText="1"/>
    </xf>
    <xf numFmtId="0" fontId="35" fillId="2" borderId="11" xfId="2" applyFont="1" applyFill="1" applyBorder="1" applyAlignment="1">
      <alignment horizontal="center" vertical="center" wrapText="1"/>
    </xf>
    <xf numFmtId="0" fontId="35" fillId="2" borderId="49" xfId="2" applyFont="1" applyFill="1" applyBorder="1" applyAlignment="1">
      <alignment horizontal="center" vertical="center" wrapText="1"/>
    </xf>
    <xf numFmtId="0" fontId="35" fillId="2" borderId="2" xfId="2" applyFont="1" applyFill="1" applyBorder="1" applyAlignment="1">
      <alignment horizontal="center" vertical="center" wrapText="1"/>
    </xf>
    <xf numFmtId="0" fontId="30" fillId="4" borderId="0" xfId="2" applyFont="1" applyFill="1" applyAlignment="1">
      <alignment horizontal="center" vertical="center" wrapText="1"/>
    </xf>
    <xf numFmtId="0" fontId="13" fillId="2" borderId="43" xfId="2" applyFont="1" applyFill="1" applyBorder="1" applyAlignment="1">
      <alignment horizontal="center" vertical="center" wrapText="1"/>
    </xf>
    <xf numFmtId="0" fontId="13" fillId="2" borderId="34" xfId="2" applyFont="1" applyFill="1" applyBorder="1" applyAlignment="1">
      <alignment horizontal="center" vertical="center" wrapText="1"/>
    </xf>
    <xf numFmtId="1" fontId="13" fillId="7" borderId="43" xfId="2" applyNumberFormat="1" applyFont="1" applyFill="1" applyBorder="1" applyProtection="1">
      <alignment horizontal="center" vertical="center"/>
      <protection locked="0"/>
    </xf>
    <xf numFmtId="1" fontId="13" fillId="7" borderId="27" xfId="2" applyNumberFormat="1" applyFont="1" applyFill="1" applyBorder="1" applyProtection="1">
      <alignment horizontal="center" vertical="center"/>
      <protection locked="0"/>
    </xf>
    <xf numFmtId="1" fontId="13" fillId="7" borderId="28" xfId="2" applyNumberFormat="1" applyFont="1" applyFill="1" applyBorder="1" applyProtection="1">
      <alignment horizontal="center" vertical="center"/>
      <protection locked="0"/>
    </xf>
    <xf numFmtId="1" fontId="13" fillId="9" borderId="43" xfId="2" applyNumberFormat="1" applyFont="1" applyFill="1" applyBorder="1" applyProtection="1">
      <alignment horizontal="center" vertical="center"/>
      <protection locked="0"/>
    </xf>
    <xf numFmtId="1" fontId="13" fillId="9" borderId="27" xfId="2" applyNumberFormat="1" applyFont="1" applyFill="1" applyBorder="1" applyProtection="1">
      <alignment horizontal="center" vertical="center"/>
      <protection locked="0"/>
    </xf>
    <xf numFmtId="1" fontId="13" fillId="9" borderId="28" xfId="2" applyNumberFormat="1" applyFont="1" applyFill="1" applyBorder="1" applyProtection="1">
      <alignment horizontal="center" vertical="center"/>
      <protection locked="0"/>
    </xf>
    <xf numFmtId="1" fontId="13" fillId="10" borderId="43" xfId="2" applyNumberFormat="1" applyFont="1" applyFill="1" applyBorder="1" applyProtection="1">
      <alignment horizontal="center" vertical="center"/>
      <protection locked="0"/>
    </xf>
    <xf numFmtId="1" fontId="13" fillId="10" borderId="27" xfId="2" applyNumberFormat="1" applyFont="1" applyFill="1" applyBorder="1" applyProtection="1">
      <alignment horizontal="center" vertical="center"/>
      <protection locked="0"/>
    </xf>
    <xf numFmtId="1" fontId="13" fillId="10" borderId="28" xfId="2" applyNumberFormat="1" applyFont="1" applyFill="1" applyBorder="1" applyProtection="1">
      <alignment horizontal="center" vertical="center"/>
      <protection locked="0"/>
    </xf>
    <xf numFmtId="0" fontId="13" fillId="2" borderId="51" xfId="2" applyFont="1" applyFill="1" applyBorder="1" applyAlignment="1">
      <alignment horizontal="center" vertical="center" wrapText="1"/>
    </xf>
    <xf numFmtId="0" fontId="13" fillId="2" borderId="39" xfId="2" applyFont="1" applyFill="1" applyBorder="1" applyAlignment="1">
      <alignment horizontal="center" vertical="center" wrapText="1"/>
    </xf>
    <xf numFmtId="0" fontId="13" fillId="2" borderId="37" xfId="2" applyFont="1" applyFill="1" applyBorder="1" applyAlignment="1">
      <alignment horizontal="center" vertical="center" wrapText="1"/>
    </xf>
    <xf numFmtId="0" fontId="13" fillId="17" borderId="6" xfId="10" applyFont="1" applyFill="1" applyBorder="1" applyAlignment="1" applyProtection="1">
      <alignment horizontal="right" vertical="center" wrapText="1"/>
    </xf>
    <xf numFmtId="0" fontId="35" fillId="2" borderId="0" xfId="2" applyFont="1" applyFill="1" applyAlignment="1">
      <alignment horizontal="center" vertical="center" wrapText="1"/>
    </xf>
    <xf numFmtId="1" fontId="13" fillId="7" borderId="19" xfId="2" applyNumberFormat="1" applyFont="1" applyFill="1" applyBorder="1" applyProtection="1">
      <alignment horizontal="center" vertical="center"/>
      <protection locked="0"/>
    </xf>
    <xf numFmtId="1" fontId="13" fillId="7" borderId="31" xfId="2" applyNumberFormat="1" applyFont="1" applyFill="1" applyBorder="1" applyProtection="1">
      <alignment horizontal="center" vertical="center"/>
      <protection locked="0"/>
    </xf>
    <xf numFmtId="1" fontId="13" fillId="7" borderId="15" xfId="2" applyNumberFormat="1" applyFont="1" applyFill="1" applyBorder="1" applyProtection="1">
      <alignment horizontal="center" vertical="center"/>
      <protection locked="0"/>
    </xf>
    <xf numFmtId="1" fontId="13" fillId="9" borderId="45" xfId="2" applyNumberFormat="1" applyFont="1" applyFill="1" applyBorder="1" applyProtection="1">
      <alignment horizontal="center" vertical="center"/>
      <protection locked="0"/>
    </xf>
    <xf numFmtId="1" fontId="13" fillId="9" borderId="0" xfId="2" applyNumberFormat="1" applyFont="1" applyFill="1" applyProtection="1">
      <alignment horizontal="center" vertical="center"/>
      <protection locked="0"/>
    </xf>
    <xf numFmtId="1" fontId="13" fillId="9" borderId="14" xfId="2" applyNumberFormat="1" applyFont="1" applyFill="1" applyBorder="1" applyProtection="1">
      <alignment horizontal="center" vertical="center"/>
      <protection locked="0"/>
    </xf>
    <xf numFmtId="1" fontId="13" fillId="10" borderId="50" xfId="2" applyNumberFormat="1" applyFont="1" applyFill="1" applyBorder="1" applyProtection="1">
      <alignment horizontal="center" vertical="center"/>
      <protection locked="0"/>
    </xf>
    <xf numFmtId="1" fontId="13" fillId="10" borderId="30" xfId="2" applyNumberFormat="1" applyFont="1" applyFill="1" applyBorder="1" applyProtection="1">
      <alignment horizontal="center" vertical="center"/>
      <protection locked="0"/>
    </xf>
    <xf numFmtId="1" fontId="13" fillId="10" borderId="36" xfId="2" applyNumberFormat="1" applyFont="1" applyFill="1" applyBorder="1" applyProtection="1">
      <alignment horizontal="center" vertical="center"/>
      <protection locked="0"/>
    </xf>
    <xf numFmtId="0" fontId="11" fillId="8" borderId="6" xfId="10" applyFont="1" applyFill="1" applyBorder="1" applyAlignment="1" applyProtection="1">
      <alignment horizontal="left" vertical="center" wrapText="1"/>
    </xf>
    <xf numFmtId="1" fontId="13" fillId="4" borderId="6" xfId="0" applyNumberFormat="1" applyFont="1" applyFill="1" applyBorder="1" applyAlignment="1">
      <alignment horizontal="center" vertical="center" wrapText="1"/>
    </xf>
    <xf numFmtId="1" fontId="13" fillId="7" borderId="6" xfId="2" applyNumberFormat="1" applyFont="1" applyFill="1" applyBorder="1" applyProtection="1">
      <alignment horizontal="center" vertical="center"/>
      <protection locked="0"/>
    </xf>
    <xf numFmtId="0" fontId="11" fillId="8" borderId="9" xfId="11" applyFont="1" applyFill="1" applyBorder="1" applyAlignment="1">
      <alignment vertical="center" wrapText="1"/>
    </xf>
    <xf numFmtId="0" fontId="0" fillId="8" borderId="7" xfId="0" applyFill="1" applyBorder="1" applyAlignment="1">
      <alignment vertical="center" wrapText="1"/>
    </xf>
    <xf numFmtId="0" fontId="19" fillId="8" borderId="0" xfId="11" applyFont="1" applyFill="1" applyAlignment="1">
      <alignment horizontal="left" vertical="center" wrapText="1"/>
    </xf>
    <xf numFmtId="0" fontId="19" fillId="8" borderId="30" xfId="11" applyFont="1" applyFill="1" applyBorder="1" applyAlignment="1">
      <alignment horizontal="left" vertical="center" wrapText="1"/>
    </xf>
    <xf numFmtId="0" fontId="19" fillId="8" borderId="14" xfId="11" applyFont="1" applyFill="1" applyBorder="1" applyAlignment="1">
      <alignment horizontal="left" vertical="center" wrapText="1"/>
    </xf>
    <xf numFmtId="0" fontId="19" fillId="8" borderId="36" xfId="11" applyFont="1" applyFill="1" applyBorder="1" applyAlignment="1">
      <alignment horizontal="left" vertical="center" wrapText="1"/>
    </xf>
    <xf numFmtId="0" fontId="19" fillId="17" borderId="9" xfId="11" applyFont="1" applyFill="1" applyBorder="1" applyAlignment="1">
      <alignment horizontal="left" vertical="center" wrapText="1"/>
    </xf>
    <xf numFmtId="0" fontId="43" fillId="17" borderId="7" xfId="0" applyFont="1" applyFill="1" applyBorder="1" applyAlignment="1">
      <alignment horizontal="left" vertical="center" wrapText="1"/>
    </xf>
    <xf numFmtId="0" fontId="19" fillId="2" borderId="14" xfId="11" applyFont="1" applyFill="1" applyBorder="1" applyAlignment="1">
      <alignment horizontal="left" vertical="center" wrapText="1"/>
    </xf>
    <xf numFmtId="0" fontId="0" fillId="8" borderId="6" xfId="0" applyFill="1" applyBorder="1" applyAlignment="1">
      <alignment horizontal="left" vertical="center" wrapText="1"/>
    </xf>
    <xf numFmtId="0" fontId="13" fillId="17" borderId="6" xfId="10" applyFont="1" applyFill="1" applyBorder="1" applyAlignment="1" applyProtection="1">
      <alignment horizontal="left" vertical="center" wrapText="1"/>
    </xf>
    <xf numFmtId="170" fontId="11" fillId="8" borderId="6" xfId="11" applyNumberFormat="1" applyFont="1" applyFill="1" applyBorder="1" applyAlignment="1">
      <alignment horizontal="left" vertical="center" wrapText="1"/>
    </xf>
    <xf numFmtId="0" fontId="13" fillId="8" borderId="6" xfId="10" applyFont="1" applyFill="1" applyBorder="1" applyAlignment="1" applyProtection="1">
      <alignment horizontal="left" vertical="center" wrapText="1"/>
    </xf>
    <xf numFmtId="0" fontId="0" fillId="8" borderId="6" xfId="0" applyFill="1" applyBorder="1" applyAlignment="1">
      <alignment vertical="center" wrapText="1"/>
    </xf>
    <xf numFmtId="0" fontId="19" fillId="2" borderId="8" xfId="11" applyFont="1" applyFill="1" applyBorder="1" applyAlignment="1">
      <alignment horizontal="left" vertical="center" wrapText="1"/>
    </xf>
    <xf numFmtId="0" fontId="11" fillId="8" borderId="6" xfId="10" applyFont="1" applyFill="1" applyBorder="1" applyAlignment="1" applyProtection="1">
      <alignment vertical="center" wrapText="1"/>
    </xf>
    <xf numFmtId="0" fontId="13" fillId="17" borderId="6" xfId="10" applyFont="1" applyFill="1" applyBorder="1" applyAlignment="1" applyProtection="1">
      <alignment vertical="center" wrapText="1"/>
    </xf>
    <xf numFmtId="0" fontId="19" fillId="2" borderId="14" xfId="11" applyFont="1" applyFill="1" applyBorder="1" applyAlignment="1">
      <alignment vertical="center" wrapText="1"/>
    </xf>
    <xf numFmtId="170" fontId="19" fillId="8" borderId="6" xfId="11" applyNumberFormat="1" applyFont="1" applyFill="1" applyBorder="1" applyAlignment="1">
      <alignment horizontal="left" vertical="center" wrapText="1"/>
    </xf>
    <xf numFmtId="0" fontId="30" fillId="4" borderId="0" xfId="2" applyFont="1" applyFill="1" applyAlignment="1">
      <alignment horizontal="left" vertical="center" wrapText="1"/>
    </xf>
    <xf numFmtId="172" fontId="13" fillId="5" borderId="42" xfId="14" applyNumberFormat="1" applyFont="1" applyFill="1" applyBorder="1" applyAlignment="1" applyProtection="1">
      <alignment horizontal="center" vertical="center" shrinkToFit="1"/>
      <protection locked="0"/>
    </xf>
    <xf numFmtId="172" fontId="13" fillId="5" borderId="53" xfId="14" applyNumberFormat="1" applyFont="1" applyFill="1" applyBorder="1" applyAlignment="1" applyProtection="1">
      <alignment horizontal="center" vertical="center" shrinkToFit="1"/>
      <protection locked="0"/>
    </xf>
    <xf numFmtId="172" fontId="13" fillId="5" borderId="16" xfId="14" applyNumberFormat="1" applyFont="1" applyFill="1" applyBorder="1" applyAlignment="1" applyProtection="1">
      <alignment horizontal="center" vertical="center" shrinkToFit="1"/>
      <protection locked="0"/>
    </xf>
    <xf numFmtId="172" fontId="13" fillId="9" borderId="51" xfId="14" applyNumberFormat="1" applyFont="1" applyFill="1" applyBorder="1" applyAlignment="1" applyProtection="1">
      <alignment horizontal="center" vertical="center" shrinkToFit="1"/>
      <protection locked="0"/>
    </xf>
    <xf numFmtId="172" fontId="13" fillId="9" borderId="39" xfId="14" applyNumberFormat="1" applyFont="1" applyFill="1" applyBorder="1" applyAlignment="1" applyProtection="1">
      <alignment horizontal="center" vertical="center" shrinkToFit="1"/>
      <protection locked="0"/>
    </xf>
    <xf numFmtId="172" fontId="13" fillId="9" borderId="37" xfId="14" applyNumberFormat="1" applyFont="1" applyFill="1" applyBorder="1" applyAlignment="1" applyProtection="1">
      <alignment horizontal="center" vertical="center" shrinkToFit="1"/>
      <protection locked="0"/>
    </xf>
    <xf numFmtId="172" fontId="13" fillId="7" borderId="51" xfId="14" applyNumberFormat="1" applyFont="1" applyFill="1" applyBorder="1" applyAlignment="1" applyProtection="1">
      <alignment horizontal="center" vertical="center" shrinkToFit="1"/>
      <protection locked="0"/>
    </xf>
    <xf numFmtId="172" fontId="13" fillId="7" borderId="39" xfId="14" applyNumberFormat="1" applyFont="1" applyFill="1" applyBorder="1" applyAlignment="1" applyProtection="1">
      <alignment horizontal="center" vertical="center" shrinkToFit="1"/>
      <protection locked="0"/>
    </xf>
    <xf numFmtId="172" fontId="13" fillId="7" borderId="37" xfId="14" applyNumberFormat="1" applyFont="1" applyFill="1" applyBorder="1" applyAlignment="1" applyProtection="1">
      <alignment horizontal="center" vertical="center" shrinkToFit="1"/>
      <protection locked="0"/>
    </xf>
    <xf numFmtId="0" fontId="13" fillId="2" borderId="44" xfId="2" applyFont="1" applyFill="1" applyBorder="1" applyAlignment="1">
      <alignment horizontal="center" vertical="center" wrapText="1"/>
    </xf>
    <xf numFmtId="0" fontId="13" fillId="2" borderId="31" xfId="2" applyFont="1" applyFill="1" applyBorder="1" applyAlignment="1">
      <alignment horizontal="center" vertical="center" wrapText="1"/>
    </xf>
    <xf numFmtId="165" fontId="13" fillId="2" borderId="51" xfId="4" applyNumberFormat="1" applyFont="1" applyFill="1" applyBorder="1" applyAlignment="1" applyProtection="1">
      <alignment horizontal="center" vertical="center" shrinkToFit="1"/>
      <protection locked="0"/>
    </xf>
    <xf numFmtId="165" fontId="13" fillId="2" borderId="39" xfId="4" applyNumberFormat="1" applyFont="1" applyFill="1" applyBorder="1" applyAlignment="1" applyProtection="1">
      <alignment horizontal="center" vertical="center" shrinkToFit="1"/>
      <protection locked="0"/>
    </xf>
    <xf numFmtId="1" fontId="13" fillId="7" borderId="22" xfId="2" applyNumberFormat="1" applyFont="1" applyFill="1" applyBorder="1" applyProtection="1">
      <alignment horizontal="center" vertical="center"/>
      <protection locked="0"/>
    </xf>
    <xf numFmtId="1" fontId="13" fillId="7" borderId="0" xfId="2" applyNumberFormat="1" applyFont="1" applyFill="1" applyProtection="1">
      <alignment horizontal="center" vertical="center"/>
      <protection locked="0"/>
    </xf>
    <xf numFmtId="1" fontId="13" fillId="7" borderId="14" xfId="2" applyNumberFormat="1" applyFont="1" applyFill="1" applyBorder="1" applyProtection="1">
      <alignment horizontal="center" vertical="center"/>
      <protection locked="0"/>
    </xf>
    <xf numFmtId="1" fontId="13" fillId="10" borderId="21" xfId="2" applyNumberFormat="1" applyFont="1" applyFill="1" applyBorder="1" applyProtection="1">
      <alignment horizontal="center" vertical="center"/>
      <protection locked="0"/>
    </xf>
    <xf numFmtId="1" fontId="13" fillId="10" borderId="13" xfId="2" applyNumberFormat="1" applyFont="1" applyFill="1" applyBorder="1" applyProtection="1">
      <alignment horizontal="center" vertical="center"/>
      <protection locked="0"/>
    </xf>
    <xf numFmtId="165" fontId="11" fillId="2" borderId="23" xfId="4" applyNumberFormat="1" applyFont="1" applyFill="1" applyBorder="1" applyAlignment="1" applyProtection="1">
      <alignment horizontal="center" vertical="center" shrinkToFit="1"/>
      <protection locked="0"/>
    </xf>
    <xf numFmtId="165" fontId="11" fillId="2" borderId="31" xfId="4" applyNumberFormat="1" applyFont="1" applyFill="1" applyBorder="1" applyAlignment="1" applyProtection="1">
      <alignment horizontal="center" vertical="center" shrinkToFit="1"/>
      <protection locked="0"/>
    </xf>
    <xf numFmtId="165" fontId="11" fillId="2" borderId="15" xfId="4" applyNumberFormat="1" applyFont="1" applyFill="1" applyBorder="1" applyAlignment="1" applyProtection="1">
      <alignment horizontal="center" vertical="center" shrinkToFit="1"/>
      <protection locked="0"/>
    </xf>
    <xf numFmtId="0" fontId="1" fillId="2" borderId="12" xfId="2" applyFont="1" applyFill="1" applyBorder="1" applyAlignment="1">
      <alignment horizontal="left" vertical="center" wrapText="1"/>
    </xf>
    <xf numFmtId="0" fontId="1" fillId="2" borderId="20" xfId="2" applyFont="1" applyFill="1" applyBorder="1" applyAlignment="1">
      <alignment horizontal="left" vertical="center" wrapText="1"/>
    </xf>
    <xf numFmtId="172" fontId="13" fillId="7" borderId="50" xfId="14" applyNumberFormat="1" applyFont="1" applyFill="1" applyBorder="1" applyAlignment="1" applyProtection="1">
      <alignment horizontal="center" vertical="center" shrinkToFit="1"/>
      <protection locked="0"/>
    </xf>
    <xf numFmtId="172" fontId="13" fillId="7" borderId="30" xfId="14" applyNumberFormat="1" applyFont="1" applyFill="1" applyBorder="1" applyAlignment="1" applyProtection="1">
      <alignment horizontal="center" vertical="center" shrinkToFit="1"/>
      <protection locked="0"/>
    </xf>
    <xf numFmtId="172" fontId="13" fillId="7" borderId="60" xfId="14" applyNumberFormat="1" applyFont="1" applyFill="1" applyBorder="1" applyAlignment="1" applyProtection="1">
      <alignment horizontal="center" vertical="center" shrinkToFit="1"/>
      <protection locked="0"/>
    </xf>
    <xf numFmtId="1" fontId="13" fillId="7" borderId="62" xfId="2" applyNumberFormat="1" applyFont="1" applyFill="1" applyBorder="1" applyProtection="1">
      <alignment horizontal="center" vertical="center"/>
      <protection locked="0"/>
    </xf>
    <xf numFmtId="1" fontId="13" fillId="10" borderId="1" xfId="2" applyNumberFormat="1" applyFont="1" applyFill="1" applyBorder="1" applyProtection="1">
      <alignment horizontal="center" vertical="center"/>
      <protection locked="0"/>
    </xf>
    <xf numFmtId="1" fontId="13" fillId="4" borderId="34" xfId="0" applyNumberFormat="1" applyFont="1" applyFill="1" applyBorder="1" applyAlignment="1">
      <alignment horizontal="center" vertical="center" wrapText="1"/>
    </xf>
    <xf numFmtId="9" fontId="11" fillId="23" borderId="6" xfId="16" applyFont="1" applyFill="1" applyBorder="1" applyAlignment="1" applyProtection="1">
      <alignment horizontal="center" vertical="center" wrapText="1"/>
      <protection locked="0"/>
    </xf>
    <xf numFmtId="0" fontId="11" fillId="2" borderId="51" xfId="2" applyFont="1" applyFill="1" applyBorder="1" applyProtection="1">
      <alignment horizontal="center" vertical="center"/>
      <protection locked="0"/>
    </xf>
    <xf numFmtId="0" fontId="11" fillId="2" borderId="39" xfId="2" applyFont="1" applyFill="1" applyBorder="1" applyProtection="1">
      <alignment horizontal="center" vertical="center"/>
      <protection locked="0"/>
    </xf>
    <xf numFmtId="0" fontId="11" fillId="2" borderId="37" xfId="2" applyFont="1" applyFill="1" applyBorder="1" applyProtection="1">
      <alignment horizontal="center" vertical="center"/>
      <protection locked="0"/>
    </xf>
    <xf numFmtId="0" fontId="13" fillId="2" borderId="7"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11" fillId="2" borderId="50" xfId="2" applyFont="1" applyFill="1" applyBorder="1" applyProtection="1">
      <alignment horizontal="center" vertical="center"/>
      <protection locked="0"/>
    </xf>
    <xf numFmtId="0" fontId="11" fillId="2" borderId="58" xfId="2" applyFont="1" applyFill="1" applyBorder="1" applyProtection="1">
      <alignment horizontal="center" vertical="center"/>
      <protection locked="0"/>
    </xf>
    <xf numFmtId="0" fontId="13" fillId="2" borderId="6" xfId="0" applyFont="1" applyFill="1" applyBorder="1" applyAlignment="1">
      <alignment horizontal="center" vertical="center" wrapText="1"/>
    </xf>
    <xf numFmtId="0" fontId="13" fillId="2" borderId="32" xfId="0" applyFont="1" applyFill="1" applyBorder="1" applyAlignment="1">
      <alignment horizontal="center" vertical="center" wrapText="1"/>
    </xf>
    <xf numFmtId="0" fontId="30" fillId="4" borderId="0" xfId="2" applyFont="1" applyFill="1" applyAlignment="1">
      <alignment horizontal="left" vertical="center"/>
    </xf>
    <xf numFmtId="0" fontId="11" fillId="2" borderId="9" xfId="2"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3" fillId="17" borderId="6" xfId="2" applyFont="1" applyFill="1" applyBorder="1" applyAlignment="1">
      <alignment horizontal="right" vertical="center"/>
    </xf>
    <xf numFmtId="0" fontId="35" fillId="2" borderId="45" xfId="2" applyFont="1" applyFill="1" applyBorder="1" applyAlignment="1">
      <alignment horizontal="center" vertical="center" wrapText="1"/>
    </xf>
    <xf numFmtId="0" fontId="35" fillId="2" borderId="50" xfId="2" applyFont="1" applyFill="1" applyBorder="1" applyAlignment="1">
      <alignment horizontal="center" vertical="center" wrapText="1"/>
    </xf>
    <xf numFmtId="0" fontId="35" fillId="2" borderId="44" xfId="2" applyFont="1" applyFill="1" applyBorder="1" applyAlignment="1">
      <alignment horizontal="center" vertical="center" wrapText="1"/>
    </xf>
    <xf numFmtId="0" fontId="35" fillId="2" borderId="46" xfId="2" applyFont="1" applyFill="1" applyBorder="1" applyAlignment="1">
      <alignment horizontal="center" vertical="center" wrapText="1"/>
    </xf>
    <xf numFmtId="0" fontId="13" fillId="4" borderId="9" xfId="2" applyFont="1" applyFill="1" applyBorder="1">
      <alignment horizontal="center" vertical="center"/>
    </xf>
    <xf numFmtId="0" fontId="11" fillId="4" borderId="8" xfId="0" applyFont="1" applyFill="1" applyBorder="1" applyAlignment="1">
      <alignment horizontal="center" vertical="center"/>
    </xf>
    <xf numFmtId="0" fontId="11" fillId="4" borderId="7" xfId="0" applyFont="1" applyFill="1" applyBorder="1" applyAlignment="1">
      <alignment horizontal="center" vertical="center"/>
    </xf>
    <xf numFmtId="1" fontId="13" fillId="7" borderId="65" xfId="2" applyNumberFormat="1" applyFont="1" applyFill="1" applyBorder="1" applyProtection="1">
      <alignment horizontal="center" vertical="center"/>
      <protection locked="0"/>
    </xf>
    <xf numFmtId="1" fontId="13" fillId="7" borderId="66" xfId="2" applyNumberFormat="1" applyFont="1" applyFill="1" applyBorder="1" applyProtection="1">
      <alignment horizontal="center" vertical="center"/>
      <protection locked="0"/>
    </xf>
    <xf numFmtId="172" fontId="13" fillId="7" borderId="6" xfId="14" applyNumberFormat="1" applyFont="1" applyFill="1" applyBorder="1" applyAlignment="1" applyProtection="1">
      <alignment horizontal="center" vertical="center" shrinkToFit="1"/>
      <protection locked="0"/>
    </xf>
    <xf numFmtId="172" fontId="13" fillId="7" borderId="32" xfId="14" applyNumberFormat="1" applyFont="1" applyFill="1" applyBorder="1" applyAlignment="1" applyProtection="1">
      <alignment horizontal="center" vertical="center" shrinkToFit="1"/>
      <protection locked="0"/>
    </xf>
    <xf numFmtId="1" fontId="13" fillId="7" borderId="32" xfId="2" applyNumberFormat="1" applyFont="1" applyFill="1" applyBorder="1" applyProtection="1">
      <alignment horizontal="center" vertical="center"/>
      <protection locked="0"/>
    </xf>
    <xf numFmtId="9" fontId="22" fillId="8" borderId="6" xfId="16" applyFont="1" applyFill="1" applyBorder="1" applyAlignment="1">
      <alignment horizontal="center" vertical="center" wrapText="1"/>
    </xf>
    <xf numFmtId="9" fontId="22" fillId="8" borderId="9" xfId="16" applyFont="1" applyFill="1" applyBorder="1" applyAlignment="1">
      <alignment horizontal="center" vertical="center" wrapText="1"/>
    </xf>
    <xf numFmtId="9" fontId="22" fillId="8" borderId="6" xfId="0" applyNumberFormat="1" applyFont="1" applyFill="1" applyBorder="1" applyAlignment="1">
      <alignment horizontal="center" vertical="center" wrapText="1"/>
    </xf>
    <xf numFmtId="0" fontId="22" fillId="8" borderId="6" xfId="0" applyFont="1" applyFill="1" applyBorder="1" applyAlignment="1">
      <alignment horizontal="center" vertical="center" wrapText="1"/>
    </xf>
    <xf numFmtId="0" fontId="22" fillId="8" borderId="9" xfId="0" applyFont="1" applyFill="1" applyBorder="1" applyAlignment="1">
      <alignment horizontal="center" vertical="center" wrapText="1"/>
    </xf>
    <xf numFmtId="9" fontId="21" fillId="17" borderId="0" xfId="16" applyFont="1" applyFill="1" applyAlignment="1">
      <alignment horizontal="center" vertical="center" wrapText="1"/>
    </xf>
    <xf numFmtId="0" fontId="45" fillId="2" borderId="0" xfId="0" applyFont="1" applyFill="1" applyAlignment="1">
      <alignment horizontal="left" wrapText="1"/>
    </xf>
  </cellXfs>
  <cellStyles count="17">
    <cellStyle name="ARIAL 12" xfId="2" xr:uid="{00000000-0005-0000-0000-000000000000}"/>
    <cellStyle name="Checkpoint" xfId="9" xr:uid="{00000000-0005-0000-0000-000001000000}"/>
    <cellStyle name="Checkpoint 2" xfId="13" xr:uid="{00000000-0005-0000-0000-000002000000}"/>
    <cellStyle name="Comma" xfId="14" builtinId="3"/>
    <cellStyle name="Comma 2" xfId="5" xr:uid="{00000000-0005-0000-0000-000004000000}"/>
    <cellStyle name="Currency" xfId="15" builtinId="4"/>
    <cellStyle name="Hyperlink" xfId="10" builtinId="8"/>
    <cellStyle name="Normal" xfId="0" builtinId="0"/>
    <cellStyle name="Normal 2" xfId="1" xr:uid="{00000000-0005-0000-0000-000008000000}"/>
    <cellStyle name="Normal 2 2" xfId="6" xr:uid="{00000000-0005-0000-0000-000009000000}"/>
    <cellStyle name="Normal 6" xfId="11" xr:uid="{00000000-0005-0000-0000-00000A000000}"/>
    <cellStyle name="Normal_Model TRIAS eng def " xfId="4" xr:uid="{00000000-0005-0000-0000-00000B000000}"/>
    <cellStyle name="Percent" xfId="16" builtinId="5"/>
    <cellStyle name="Percent 2" xfId="3" xr:uid="{00000000-0005-0000-0000-00000D000000}"/>
    <cellStyle name="Procentowy 2" xfId="12" xr:uid="{00000000-0005-0000-0000-00000E000000}"/>
    <cellStyle name="Saisie" xfId="7" xr:uid="{00000000-0005-0000-0000-00000F000000}"/>
    <cellStyle name="Titre" xfId="8" xr:uid="{00000000-0005-0000-0000-000010000000}"/>
  </cellStyles>
  <dxfs count="45">
    <dxf>
      <fill>
        <patternFill>
          <bgColor rgb="FFCAE8AA"/>
        </patternFill>
      </fill>
    </dxf>
    <dxf>
      <fill>
        <patternFill>
          <bgColor rgb="FFCAE8AA"/>
        </patternFill>
      </fill>
    </dxf>
    <dxf>
      <fill>
        <patternFill>
          <bgColor rgb="FFCAE8AA"/>
        </patternFill>
      </fill>
    </dxf>
    <dxf>
      <fill>
        <patternFill>
          <bgColor rgb="FFCAE8AA"/>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CAE8AA"/>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2" defaultPivotStyle="PivotStyleLight16"/>
  <colors>
    <mruColors>
      <color rgb="FF4CC09A"/>
      <color rgb="FF195FC5"/>
      <color rgb="FF1C24C8"/>
      <color rgb="FFD1EFE5"/>
      <color rgb="FFD8E5F4"/>
      <color rgb="FFC7EBDF"/>
      <color rgb="FFC1D5ED"/>
      <color rgb="FF80D2B7"/>
      <color rgb="FFCBEDE2"/>
      <color rgb="FF6097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2.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'Ratios '!$B$15</c:f>
              <c:strCache>
                <c:ptCount val="1"/>
                <c:pt idx="0">
                  <c:v>Operating expenses ratio (assets)</c:v>
                </c:pt>
              </c:strCache>
            </c:strRef>
          </c:tx>
          <c:spPr>
            <a:ln w="28575" cap="rnd">
              <a:solidFill>
                <a:schemeClr val="accent1"/>
              </a:solidFill>
              <a:round/>
            </a:ln>
            <a:effectLst/>
          </c:spPr>
          <c:marker>
            <c:symbol val="none"/>
          </c:marker>
          <c:val>
            <c:numRef>
              <c:f>('Ratios '!$C$15:$E$15,'Ratios '!$J$15)</c:f>
              <c:numCache>
                <c:formatCode>0.000%</c:formatCode>
                <c:ptCount val="4"/>
                <c:pt idx="1">
                  <c:v>1.3197146562905318E-2</c:v>
                </c:pt>
                <c:pt idx="2">
                  <c:v>1.1185252888232832E-2</c:v>
                </c:pt>
                <c:pt idx="3" formatCode="0%">
                  <c:v>1.0695891873210364E-2</c:v>
                </c:pt>
              </c:numCache>
            </c:numRef>
          </c:val>
          <c:smooth val="0"/>
          <c:extLst>
            <c:ext xmlns:c16="http://schemas.microsoft.com/office/drawing/2014/chart" uri="{C3380CC4-5D6E-409C-BE32-E72D297353CC}">
              <c16:uniqueId val="{00000000-E87B-4526-A685-1AD3D5C22112}"/>
            </c:ext>
          </c:extLst>
        </c:ser>
        <c:dLbls>
          <c:showLegendKey val="0"/>
          <c:showVal val="0"/>
          <c:showCatName val="0"/>
          <c:showSerName val="0"/>
          <c:showPercent val="0"/>
          <c:showBubbleSize val="0"/>
        </c:dLbls>
        <c:smooth val="0"/>
        <c:axId val="84280984"/>
        <c:axId val="84281376"/>
      </c:lineChart>
      <c:catAx>
        <c:axId val="84280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81376"/>
        <c:crosses val="autoZero"/>
        <c:auto val="1"/>
        <c:lblAlgn val="ctr"/>
        <c:lblOffset val="100"/>
        <c:noMultiLvlLbl val="0"/>
      </c:catAx>
      <c:valAx>
        <c:axId val="84281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28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'Risk Assessment'!#REF!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'Risk Assessment'!$K$2:$L$12</c15:sqref>
                        </c15:formulaRef>
                      </c:ext>
                    </c:extLst>
                  </c:multiLvlStrRef>
                </c15:cat>
              </c15:filteredCategoryTitle>
            </c:ext>
            <c:ext xmlns:c16="http://schemas.microsoft.com/office/drawing/2014/chart" uri="{C3380CC4-5D6E-409C-BE32-E72D297353CC}">
              <c16:uniqueId val="{00000000-E207-43C1-BF71-6291D312B62C}"/>
            </c:ext>
          </c:extLst>
        </c:ser>
        <c:ser>
          <c:idx val="1"/>
          <c:order val="1"/>
          <c:spPr>
            <a:ln w="28575" cap="rnd">
              <a:solidFill>
                <a:schemeClr val="accent2"/>
              </a:solidFill>
              <a:round/>
            </a:ln>
            <a:effectLst/>
          </c:spPr>
          <c:marker>
            <c:symbol val="none"/>
          </c:marker>
          <c:val>
            <c:numRef>
              <c:f>'Risk Assessment'!$N$2:$N$13</c:f>
              <c:numCache>
                <c:formatCode>0%</c:formatCode>
                <c:ptCount val="12"/>
                <c:pt idx="0">
                  <c:v>0.5</c:v>
                </c:pt>
                <c:pt idx="1">
                  <c:v>0.58000000000000007</c:v>
                </c:pt>
                <c:pt idx="2">
                  <c:v>0.47499999999999998</c:v>
                </c:pt>
                <c:pt idx="3">
                  <c:v>0.4</c:v>
                </c:pt>
                <c:pt idx="4">
                  <c:v>0.4</c:v>
                </c:pt>
                <c:pt idx="5">
                  <c:v>0.6</c:v>
                </c:pt>
                <c:pt idx="6">
                  <c:v>0.58260869565217388</c:v>
                </c:pt>
                <c:pt idx="7">
                  <c:v>0.6</c:v>
                </c:pt>
                <c:pt idx="8">
                  <c:v>0.6</c:v>
                </c:pt>
                <c:pt idx="9">
                  <c:v>0.6</c:v>
                </c:pt>
                <c:pt idx="10">
                  <c:v>0.6</c:v>
                </c:pt>
                <c:pt idx="11">
                  <c:v>0.6</c:v>
                </c:pt>
              </c:numCache>
            </c:numRef>
          </c:val>
          <c:extLst>
            <c:ext xmlns:c15="http://schemas.microsoft.com/office/drawing/2012/chart" uri="{02D57815-91ED-43cb-92C2-25804820EDAC}">
              <c15:filteredCategoryTitle>
                <c15:cat>
                  <c:multiLvlStrRef>
                    <c:extLst>
                      <c:ext uri="{02D57815-91ED-43cb-92C2-25804820EDAC}">
                        <c15:formulaRef>
                          <c15:sqref>'Risk Assessment'!$K$2:$L$12</c15:sqref>
                        </c15:formulaRef>
                      </c:ext>
                    </c:extLst>
                  </c:multiLvlStrRef>
                </c15:cat>
              </c15:filteredCategoryTitle>
            </c:ext>
            <c:ext xmlns:c16="http://schemas.microsoft.com/office/drawing/2014/chart" uri="{C3380CC4-5D6E-409C-BE32-E72D297353CC}">
              <c16:uniqueId val="{00000001-E207-43C1-BF71-6291D312B62C}"/>
            </c:ext>
          </c:extLst>
        </c:ser>
        <c:dLbls>
          <c:showLegendKey val="0"/>
          <c:showVal val="0"/>
          <c:showCatName val="0"/>
          <c:showSerName val="0"/>
          <c:showPercent val="0"/>
          <c:showBubbleSize val="0"/>
        </c:dLbls>
        <c:axId val="310319808"/>
        <c:axId val="310321768"/>
      </c:radarChart>
      <c:catAx>
        <c:axId val="31031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21768"/>
        <c:crosses val="autoZero"/>
        <c:auto val="1"/>
        <c:lblAlgn val="ctr"/>
        <c:lblOffset val="100"/>
        <c:noMultiLvlLbl val="0"/>
      </c:catAx>
      <c:valAx>
        <c:axId val="310321768"/>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1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Documentation Requirements Scoring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'Qualitative assessment'!$L$6:$L$10</c:f>
              <c:strCache>
                <c:ptCount val="5"/>
                <c:pt idx="0">
                  <c:v>Organization</c:v>
                </c:pt>
                <c:pt idx="1">
                  <c:v>Governance </c:v>
                </c:pt>
                <c:pt idx="2">
                  <c:v>Financial statements reporting:</c:v>
                </c:pt>
                <c:pt idx="3">
                  <c:v>Manuals and Procedures </c:v>
                </c:pt>
                <c:pt idx="4">
                  <c:v>Social performance </c:v>
                </c:pt>
              </c:strCache>
            </c:strRef>
          </c:cat>
          <c:val>
            <c:numRef>
              <c:f>'Qualitative assessment'!$M$6:$M$10</c:f>
              <c:numCache>
                <c:formatCode>0.00%</c:formatCode>
                <c:ptCount val="5"/>
                <c:pt idx="0">
                  <c:v>0.65714285714285714</c:v>
                </c:pt>
                <c:pt idx="1">
                  <c:v>0.71111111111111114</c:v>
                </c:pt>
                <c:pt idx="2">
                  <c:v>0.26666666666666666</c:v>
                </c:pt>
                <c:pt idx="3">
                  <c:v>0.4</c:v>
                </c:pt>
                <c:pt idx="4">
                  <c:v>0.55714285714285716</c:v>
                </c:pt>
              </c:numCache>
            </c:numRef>
          </c:val>
          <c:extLst>
            <c:ext xmlns:c16="http://schemas.microsoft.com/office/drawing/2014/chart" uri="{C3380CC4-5D6E-409C-BE32-E72D297353CC}">
              <c16:uniqueId val="{00000000-3A5D-414C-8B80-B08526DF4BA4}"/>
            </c:ext>
          </c:extLst>
        </c:ser>
        <c:dLbls>
          <c:showLegendKey val="0"/>
          <c:showVal val="0"/>
          <c:showCatName val="0"/>
          <c:showSerName val="0"/>
          <c:showPercent val="0"/>
          <c:showBubbleSize val="0"/>
        </c:dLbls>
        <c:axId val="310317064"/>
        <c:axId val="310315888"/>
      </c:radarChart>
      <c:catAx>
        <c:axId val="3103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15888"/>
        <c:crosses val="autoZero"/>
        <c:auto val="1"/>
        <c:lblAlgn val="ctr"/>
        <c:lblOffset val="100"/>
        <c:noMultiLvlLbl val="0"/>
      </c:catAx>
      <c:valAx>
        <c:axId val="310315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317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Qualitative assessment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accent1"/>
              </a:solidFill>
              <a:round/>
            </a:ln>
            <a:effectLst/>
          </c:spPr>
          <c:marker>
            <c:symbol val="none"/>
          </c:marker>
          <c:cat>
            <c:strRef>
              <c:f>'Qualitative assessment'!$L$6:$L$10</c:f>
              <c:strCache>
                <c:ptCount val="5"/>
                <c:pt idx="0">
                  <c:v>Organization</c:v>
                </c:pt>
                <c:pt idx="1">
                  <c:v>Governance </c:v>
                </c:pt>
                <c:pt idx="2">
                  <c:v>Financial statements reporting:</c:v>
                </c:pt>
                <c:pt idx="3">
                  <c:v>Manuals and Procedures </c:v>
                </c:pt>
                <c:pt idx="4">
                  <c:v>Social performance </c:v>
                </c:pt>
              </c:strCache>
            </c:strRef>
          </c:cat>
          <c:val>
            <c:numRef>
              <c:f>'Qualitative assessment'!$M$6:$M$10</c:f>
              <c:numCache>
                <c:formatCode>0.00%</c:formatCode>
                <c:ptCount val="5"/>
                <c:pt idx="0">
                  <c:v>0.65714285714285714</c:v>
                </c:pt>
                <c:pt idx="1">
                  <c:v>0.71111111111111114</c:v>
                </c:pt>
                <c:pt idx="2">
                  <c:v>0.26666666666666666</c:v>
                </c:pt>
                <c:pt idx="3">
                  <c:v>0.4</c:v>
                </c:pt>
                <c:pt idx="4">
                  <c:v>0.55714285714285716</c:v>
                </c:pt>
              </c:numCache>
            </c:numRef>
          </c:val>
          <c:extLst>
            <c:ext xmlns:c16="http://schemas.microsoft.com/office/drawing/2014/chart" uri="{C3380CC4-5D6E-409C-BE32-E72D297353CC}">
              <c16:uniqueId val="{00000000-3A5D-414C-8B80-B08526DF4BA4}"/>
            </c:ext>
          </c:extLst>
        </c:ser>
        <c:dLbls>
          <c:showLegendKey val="0"/>
          <c:showVal val="0"/>
          <c:showCatName val="0"/>
          <c:showSerName val="0"/>
          <c:showPercent val="0"/>
          <c:showBubbleSize val="0"/>
        </c:dLbls>
        <c:axId val="195615912"/>
        <c:axId val="195615520"/>
      </c:radarChart>
      <c:catAx>
        <c:axId val="19561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5520"/>
        <c:crosses val="autoZero"/>
        <c:auto val="1"/>
        <c:lblAlgn val="ctr"/>
        <c:lblOffset val="100"/>
        <c:noMultiLvlLbl val="0"/>
      </c:catAx>
      <c:valAx>
        <c:axId val="19561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5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ROA &amp;</a:t>
            </a:r>
            <a:r>
              <a:rPr lang="en-US" baseline="0"/>
              <a:t> ROE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'Ratios '!$B$30:$B$31</c:f>
              <c:strCache>
                <c:ptCount val="1"/>
                <c:pt idx="0">
                  <c:v>Return on Assets (ROA) Return on Equity (ROE)</c:v>
                </c:pt>
              </c:strCache>
            </c:strRef>
          </c:tx>
          <c:spPr>
            <a:ln w="28575" cap="rnd">
              <a:solidFill>
                <a:schemeClr val="accent1"/>
              </a:solidFill>
              <a:round/>
            </a:ln>
            <a:effectLst/>
          </c:spPr>
          <c:marker>
            <c:symbol val="none"/>
          </c:marker>
          <c:val>
            <c:numRef>
              <c:f>'Ratios '!$C$30:$E$30</c:f>
              <c:numCache>
                <c:formatCode>0%</c:formatCode>
                <c:ptCount val="3"/>
                <c:pt idx="0">
                  <c:v>0.02</c:v>
                </c:pt>
                <c:pt idx="1">
                  <c:v>0.03</c:v>
                </c:pt>
                <c:pt idx="2">
                  <c:v>0.02</c:v>
                </c:pt>
              </c:numCache>
            </c:numRef>
          </c:val>
          <c:smooth val="0"/>
          <c:extLst>
            <c:ext xmlns:c16="http://schemas.microsoft.com/office/drawing/2014/chart" uri="{C3380CC4-5D6E-409C-BE32-E72D297353CC}">
              <c16:uniqueId val="{00000000-197E-4B22-AC22-27EB803026BD}"/>
            </c:ext>
          </c:extLst>
        </c:ser>
        <c:ser>
          <c:idx val="1"/>
          <c:order val="1"/>
          <c:tx>
            <c:strRef>
              <c:f>'Ratios '!$B$31</c:f>
              <c:strCache>
                <c:ptCount val="1"/>
                <c:pt idx="0">
                  <c:v>Return on Equity (ROE)</c:v>
                </c:pt>
              </c:strCache>
            </c:strRef>
          </c:tx>
          <c:spPr>
            <a:ln w="28575" cap="rnd">
              <a:solidFill>
                <a:schemeClr val="accent2"/>
              </a:solidFill>
              <a:round/>
            </a:ln>
            <a:effectLst/>
          </c:spPr>
          <c:marker>
            <c:symbol val="none"/>
          </c:marker>
          <c:val>
            <c:numRef>
              <c:f>('Ratios '!$C$31:$E$31,'Ratios '!$J$31)</c:f>
              <c:numCache>
                <c:formatCode>0%</c:formatCode>
                <c:ptCount val="4"/>
                <c:pt idx="0">
                  <c:v>0.06</c:v>
                </c:pt>
                <c:pt idx="1">
                  <c:v>0.05</c:v>
                </c:pt>
                <c:pt idx="2">
                  <c:v>0.05</c:v>
                </c:pt>
                <c:pt idx="3">
                  <c:v>0.06</c:v>
                </c:pt>
              </c:numCache>
            </c:numRef>
          </c:val>
          <c:smooth val="0"/>
          <c:extLst>
            <c:ext xmlns:c16="http://schemas.microsoft.com/office/drawing/2014/chart" uri="{C3380CC4-5D6E-409C-BE32-E72D297353CC}">
              <c16:uniqueId val="{00000001-197E-4B22-AC22-27EB803026BD}"/>
            </c:ext>
          </c:extLst>
        </c:ser>
        <c:dLbls>
          <c:showLegendKey val="0"/>
          <c:showVal val="0"/>
          <c:showCatName val="0"/>
          <c:showSerName val="0"/>
          <c:showPercent val="0"/>
          <c:showBubbleSize val="0"/>
        </c:dLbls>
        <c:smooth val="0"/>
        <c:axId val="195604936"/>
        <c:axId val="195606896"/>
      </c:lineChart>
      <c:catAx>
        <c:axId val="195604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6896"/>
        <c:crosses val="autoZero"/>
        <c:auto val="1"/>
        <c:lblAlgn val="ctr"/>
        <c:lblOffset val="100"/>
        <c:noMultiLvlLbl val="0"/>
      </c:catAx>
      <c:valAx>
        <c:axId val="195606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4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'Ratios '!$B$44</c:f>
              <c:strCache>
                <c:ptCount val="1"/>
                <c:pt idx="0">
                  <c:v>Loan officers as % of staff</c:v>
                </c:pt>
              </c:strCache>
            </c:strRef>
          </c:tx>
          <c:spPr>
            <a:ln w="28575" cap="rnd">
              <a:solidFill>
                <a:schemeClr val="accent1"/>
              </a:solidFill>
              <a:round/>
            </a:ln>
            <a:effectLst/>
          </c:spPr>
          <c:marker>
            <c:symbol val="none"/>
          </c:marker>
          <c:val>
            <c:numRef>
              <c:f>('Ratios '!$C$44:$E$44,'Ratios '!$J$44)</c:f>
              <c:numCache>
                <c:formatCode>0%</c:formatCode>
                <c:ptCount val="4"/>
                <c:pt idx="0">
                  <c:v>0.3</c:v>
                </c:pt>
                <c:pt idx="1">
                  <c:v>0.4</c:v>
                </c:pt>
                <c:pt idx="2">
                  <c:v>0.38</c:v>
                </c:pt>
                <c:pt idx="3">
                  <c:v>0.4</c:v>
                </c:pt>
              </c:numCache>
            </c:numRef>
          </c:val>
          <c:smooth val="0"/>
          <c:extLst>
            <c:ext xmlns:c16="http://schemas.microsoft.com/office/drawing/2014/chart" uri="{C3380CC4-5D6E-409C-BE32-E72D297353CC}">
              <c16:uniqueId val="{00000000-806B-41F0-A048-1545F1364CA5}"/>
            </c:ext>
          </c:extLst>
        </c:ser>
        <c:dLbls>
          <c:showLegendKey val="0"/>
          <c:showVal val="0"/>
          <c:showCatName val="0"/>
          <c:showSerName val="0"/>
          <c:showPercent val="0"/>
          <c:showBubbleSize val="0"/>
        </c:dLbls>
        <c:smooth val="0"/>
        <c:axId val="195604544"/>
        <c:axId val="195609640"/>
      </c:lineChart>
      <c:catAx>
        <c:axId val="195604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9640"/>
        <c:crosses val="autoZero"/>
        <c:auto val="1"/>
        <c:lblAlgn val="ctr"/>
        <c:lblOffset val="100"/>
        <c:noMultiLvlLbl val="0"/>
      </c:catAx>
      <c:valAx>
        <c:axId val="195609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Financial Sustainbility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'Ratios '!$B$32</c:f>
              <c:strCache>
                <c:ptCount val="1"/>
                <c:pt idx="0">
                  <c:v>Operational Self-Sufficiency </c:v>
                </c:pt>
              </c:strCache>
            </c:strRef>
          </c:tx>
          <c:spPr>
            <a:ln w="28575" cap="rnd">
              <a:solidFill>
                <a:schemeClr val="accent1"/>
              </a:solidFill>
              <a:round/>
            </a:ln>
            <a:effectLst/>
          </c:spPr>
          <c:marker>
            <c:symbol val="none"/>
          </c:marker>
          <c:val>
            <c:numRef>
              <c:f>('Ratios '!$C$32:$E$32,'Ratios '!$J$32)</c:f>
              <c:numCache>
                <c:formatCode>0%</c:formatCode>
                <c:ptCount val="4"/>
                <c:pt idx="0">
                  <c:v>1</c:v>
                </c:pt>
                <c:pt idx="1">
                  <c:v>1.03</c:v>
                </c:pt>
                <c:pt idx="2">
                  <c:v>1.05</c:v>
                </c:pt>
                <c:pt idx="3">
                  <c:v>0.95</c:v>
                </c:pt>
              </c:numCache>
            </c:numRef>
          </c:val>
          <c:smooth val="0"/>
          <c:extLst>
            <c:ext xmlns:c16="http://schemas.microsoft.com/office/drawing/2014/chart" uri="{C3380CC4-5D6E-409C-BE32-E72D297353CC}">
              <c16:uniqueId val="{00000000-6D2B-4102-A6AC-3E82E13F2580}"/>
            </c:ext>
          </c:extLst>
        </c:ser>
        <c:ser>
          <c:idx val="1"/>
          <c:order val="1"/>
          <c:tx>
            <c:strRef>
              <c:f>'Ratios '!$B$33</c:f>
              <c:strCache>
                <c:ptCount val="1"/>
                <c:pt idx="0">
                  <c:v>Financial Self-Sufficiency</c:v>
                </c:pt>
              </c:strCache>
            </c:strRef>
          </c:tx>
          <c:spPr>
            <a:ln w="28575" cap="rnd">
              <a:solidFill>
                <a:schemeClr val="accent2"/>
              </a:solidFill>
              <a:round/>
            </a:ln>
            <a:effectLst/>
          </c:spPr>
          <c:marker>
            <c:symbol val="none"/>
          </c:marker>
          <c:val>
            <c:numRef>
              <c:f>('Ratios '!$C$33:$E$33,'Ratios '!$J$33)</c:f>
              <c:numCache>
                <c:formatCode>0%</c:formatCode>
                <c:ptCount val="4"/>
                <c:pt idx="0">
                  <c:v>0.97</c:v>
                </c:pt>
                <c:pt idx="1">
                  <c:v>1</c:v>
                </c:pt>
                <c:pt idx="2">
                  <c:v>1.01</c:v>
                </c:pt>
                <c:pt idx="3">
                  <c:v>0.91</c:v>
                </c:pt>
              </c:numCache>
            </c:numRef>
          </c:val>
          <c:smooth val="0"/>
          <c:extLst>
            <c:ext xmlns:c16="http://schemas.microsoft.com/office/drawing/2014/chart" uri="{C3380CC4-5D6E-409C-BE32-E72D297353CC}">
              <c16:uniqueId val="{00000001-6D2B-4102-A6AC-3E82E13F2580}"/>
            </c:ext>
          </c:extLst>
        </c:ser>
        <c:dLbls>
          <c:showLegendKey val="0"/>
          <c:showVal val="0"/>
          <c:showCatName val="0"/>
          <c:showSerName val="0"/>
          <c:showPercent val="0"/>
          <c:showBubbleSize val="0"/>
        </c:dLbls>
        <c:smooth val="0"/>
        <c:axId val="195612384"/>
        <c:axId val="195605328"/>
      </c:lineChart>
      <c:catAx>
        <c:axId val="195612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5328"/>
        <c:crosses val="autoZero"/>
        <c:auto val="1"/>
        <c:lblAlgn val="ctr"/>
        <c:lblOffset val="100"/>
        <c:noMultiLvlLbl val="0"/>
      </c:catAx>
      <c:valAx>
        <c:axId val="19560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2384"/>
        <c:crosses val="autoZero"/>
        <c:crossBetween val="between"/>
      </c:valAx>
      <c:spPr>
        <a:noFill/>
        <a:ln>
          <a:noFill/>
        </a:ln>
        <a:effectLst/>
      </c:spPr>
    </c:plotArea>
    <c:legend>
      <c:legendPos val="r"/>
      <c:layout>
        <c:manualLayout>
          <c:xMode val="edge"/>
          <c:yMode val="edge"/>
          <c:x val="0.66644789308767571"/>
          <c:y val="0.70969779819189271"/>
          <c:w val="0.3242224372914741"/>
          <c:h val="0.227725069026100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Financial</a:t>
            </a:r>
            <a:r>
              <a:rPr lang="en-US" baseline="0"/>
              <a:t> Income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'Income Statement '!$B$8</c:f>
              <c:strCache>
                <c:ptCount val="1"/>
                <c:pt idx="0">
                  <c:v>Interest on loans</c:v>
                </c:pt>
              </c:strCache>
            </c:strRef>
          </c:tx>
          <c:spPr>
            <a:solidFill>
              <a:schemeClr val="accent1"/>
            </a:solidFill>
            <a:ln>
              <a:noFill/>
            </a:ln>
            <a:effectLst/>
          </c:spPr>
          <c:invertIfNegative val="0"/>
          <c:val>
            <c:numRef>
              <c:f>('Income Statement '!$C$8:$E$8,'Income Statement '!$K$8)</c:f>
              <c:numCache>
                <c:formatCode>#,##0</c:formatCode>
                <c:ptCount val="4"/>
                <c:pt idx="0">
                  <c:v>100000</c:v>
                </c:pt>
                <c:pt idx="1">
                  <c:v>110000.00000000001</c:v>
                </c:pt>
                <c:pt idx="2">
                  <c:v>121000.00000000003</c:v>
                </c:pt>
                <c:pt idx="3">
                  <c:v>679488.81000000029</c:v>
                </c:pt>
              </c:numCache>
            </c:numRef>
          </c:val>
          <c:extLst>
            <c:ext xmlns:c16="http://schemas.microsoft.com/office/drawing/2014/chart" uri="{C3380CC4-5D6E-409C-BE32-E72D297353CC}">
              <c16:uniqueId val="{00000000-4737-4ABD-8DA2-CAD1FBE00A0A}"/>
            </c:ext>
          </c:extLst>
        </c:ser>
        <c:ser>
          <c:idx val="1"/>
          <c:order val="1"/>
          <c:tx>
            <c:strRef>
              <c:f>'Income Statement '!$B$9</c:f>
              <c:strCache>
                <c:ptCount val="1"/>
                <c:pt idx="0">
                  <c:v>Interest on deposits and securities</c:v>
                </c:pt>
              </c:strCache>
            </c:strRef>
          </c:tx>
          <c:spPr>
            <a:solidFill>
              <a:schemeClr val="accent2"/>
            </a:solidFill>
            <a:ln>
              <a:noFill/>
            </a:ln>
            <a:effectLst/>
          </c:spPr>
          <c:invertIfNegative val="0"/>
          <c:val>
            <c:numRef>
              <c:f>('Income Statement '!$C$9:$E$9,'Income Statement '!$K$9)</c:f>
              <c:numCache>
                <c:formatCode>#,##0</c:formatCode>
                <c:ptCount val="4"/>
                <c:pt idx="0">
                  <c:v>1000</c:v>
                </c:pt>
                <c:pt idx="1">
                  <c:v>1100</c:v>
                </c:pt>
                <c:pt idx="2">
                  <c:v>1210</c:v>
                </c:pt>
                <c:pt idx="3">
                  <c:v>6794.8881000000019</c:v>
                </c:pt>
              </c:numCache>
            </c:numRef>
          </c:val>
          <c:extLst>
            <c:ext xmlns:c16="http://schemas.microsoft.com/office/drawing/2014/chart" uri="{C3380CC4-5D6E-409C-BE32-E72D297353CC}">
              <c16:uniqueId val="{00000001-4737-4ABD-8DA2-CAD1FBE00A0A}"/>
            </c:ext>
          </c:extLst>
        </c:ser>
        <c:ser>
          <c:idx val="2"/>
          <c:order val="2"/>
          <c:tx>
            <c:strRef>
              <c:f>'Income Statement '!$B$10</c:f>
              <c:strCache>
                <c:ptCount val="1"/>
                <c:pt idx="0">
                  <c:v>Loan fees</c:v>
                </c:pt>
              </c:strCache>
            </c:strRef>
          </c:tx>
          <c:spPr>
            <a:solidFill>
              <a:schemeClr val="accent3"/>
            </a:solidFill>
            <a:ln>
              <a:noFill/>
            </a:ln>
            <a:effectLst/>
          </c:spPr>
          <c:invertIfNegative val="0"/>
          <c:val>
            <c:numRef>
              <c:f>('Income Statement '!$C$10:$E$10,'Income Statement '!$K$10)</c:f>
              <c:numCache>
                <c:formatCode>#,##0</c:formatCode>
                <c:ptCount val="4"/>
                <c:pt idx="0">
                  <c:v>1000</c:v>
                </c:pt>
                <c:pt idx="1">
                  <c:v>1100</c:v>
                </c:pt>
                <c:pt idx="2">
                  <c:v>1210</c:v>
                </c:pt>
                <c:pt idx="3">
                  <c:v>6794.8881000000019</c:v>
                </c:pt>
              </c:numCache>
            </c:numRef>
          </c:val>
          <c:extLst>
            <c:ext xmlns:c16="http://schemas.microsoft.com/office/drawing/2014/chart" uri="{C3380CC4-5D6E-409C-BE32-E72D297353CC}">
              <c16:uniqueId val="{00000002-4737-4ABD-8DA2-CAD1FBE00A0A}"/>
            </c:ext>
          </c:extLst>
        </c:ser>
        <c:ser>
          <c:idx val="3"/>
          <c:order val="3"/>
          <c:tx>
            <c:strRef>
              <c:f>'Income Statement '!$B$11</c:f>
              <c:strCache>
                <c:ptCount val="1"/>
                <c:pt idx="0">
                  <c:v>Penalty fees</c:v>
                </c:pt>
              </c:strCache>
            </c:strRef>
          </c:tx>
          <c:spPr>
            <a:solidFill>
              <a:schemeClr val="accent4"/>
            </a:solidFill>
            <a:ln>
              <a:noFill/>
            </a:ln>
            <a:effectLst/>
          </c:spPr>
          <c:invertIfNegative val="0"/>
          <c:val>
            <c:numRef>
              <c:f>('Income Statement '!$C$11:$E$11,'Income Statement '!$K$11)</c:f>
              <c:numCache>
                <c:formatCode>#,##0</c:formatCode>
                <c:ptCount val="4"/>
                <c:pt idx="0">
                  <c:v>500</c:v>
                </c:pt>
                <c:pt idx="1">
                  <c:v>550</c:v>
                </c:pt>
                <c:pt idx="2">
                  <c:v>605</c:v>
                </c:pt>
                <c:pt idx="3">
                  <c:v>3397.444050000001</c:v>
                </c:pt>
              </c:numCache>
            </c:numRef>
          </c:val>
          <c:extLst>
            <c:ext xmlns:c16="http://schemas.microsoft.com/office/drawing/2014/chart" uri="{C3380CC4-5D6E-409C-BE32-E72D297353CC}">
              <c16:uniqueId val="{00000003-4737-4ABD-8DA2-CAD1FBE00A0A}"/>
            </c:ext>
          </c:extLst>
        </c:ser>
        <c:ser>
          <c:idx val="4"/>
          <c:order val="4"/>
          <c:tx>
            <c:strRef>
              <c:f>'Income Statement '!$B$12</c:f>
              <c:strCache>
                <c:ptCount val="1"/>
                <c:pt idx="0">
                  <c:v>Other income from lending</c:v>
                </c:pt>
              </c:strCache>
            </c:strRef>
          </c:tx>
          <c:spPr>
            <a:solidFill>
              <a:schemeClr val="accent5"/>
            </a:solidFill>
            <a:ln>
              <a:noFill/>
            </a:ln>
            <a:effectLst/>
          </c:spPr>
          <c:invertIfNegative val="0"/>
          <c:val>
            <c:numRef>
              <c:f>('Income Statement '!$C$12:$E$12,'Income Statement '!$K$12)</c:f>
              <c:numCache>
                <c:formatCode>#,##0</c:formatCode>
                <c:ptCount val="4"/>
                <c:pt idx="0">
                  <c:v>500</c:v>
                </c:pt>
                <c:pt idx="1">
                  <c:v>550</c:v>
                </c:pt>
                <c:pt idx="2">
                  <c:v>605</c:v>
                </c:pt>
                <c:pt idx="3">
                  <c:v>3397.444050000001</c:v>
                </c:pt>
              </c:numCache>
            </c:numRef>
          </c:val>
          <c:extLst>
            <c:ext xmlns:c16="http://schemas.microsoft.com/office/drawing/2014/chart" uri="{C3380CC4-5D6E-409C-BE32-E72D297353CC}">
              <c16:uniqueId val="{00000004-4737-4ABD-8DA2-CAD1FBE00A0A}"/>
            </c:ext>
          </c:extLst>
        </c:ser>
        <c:dLbls>
          <c:showLegendKey val="0"/>
          <c:showVal val="0"/>
          <c:showCatName val="0"/>
          <c:showSerName val="0"/>
          <c:showPercent val="0"/>
          <c:showBubbleSize val="0"/>
        </c:dLbls>
        <c:gapWidth val="150"/>
        <c:overlap val="100"/>
        <c:axId val="195612776"/>
        <c:axId val="195608856"/>
      </c:barChart>
      <c:catAx>
        <c:axId val="195612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8856"/>
        <c:crosses val="autoZero"/>
        <c:auto val="1"/>
        <c:lblAlgn val="ctr"/>
        <c:lblOffset val="100"/>
        <c:noMultiLvlLbl val="0"/>
      </c:catAx>
      <c:valAx>
        <c:axId val="195608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2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Risk Assessment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20515922245044"/>
          <c:y val="0.12675418016597692"/>
          <c:w val="0.45155138699304387"/>
          <c:h val="0.71069090988196348"/>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'Risk Assessment'!#REF!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'Risk Assessment'!$K$2:$L$12</c15:sqref>
                        </c15:formulaRef>
                      </c:ext>
                    </c:extLst>
                  </c:multiLvlStrRef>
                </c15:cat>
              </c15:filteredCategoryTitle>
            </c:ext>
            <c:ext xmlns:c16="http://schemas.microsoft.com/office/drawing/2014/chart" uri="{C3380CC4-5D6E-409C-BE32-E72D297353CC}">
              <c16:uniqueId val="{00000000-E207-43C1-BF71-6291D312B62C}"/>
            </c:ext>
          </c:extLst>
        </c:ser>
        <c:ser>
          <c:idx val="1"/>
          <c:order val="1"/>
          <c:spPr>
            <a:ln w="28575" cap="rnd">
              <a:solidFill>
                <a:schemeClr val="accent2"/>
              </a:solidFill>
              <a:round/>
            </a:ln>
            <a:effectLst/>
          </c:spPr>
          <c:marker>
            <c:symbol val="none"/>
          </c:marker>
          <c:val>
            <c:numRef>
              <c:f>'Risk Assessment'!$N$2:$N$13</c:f>
              <c:numCache>
                <c:formatCode>0%</c:formatCode>
                <c:ptCount val="12"/>
                <c:pt idx="0">
                  <c:v>0.5</c:v>
                </c:pt>
                <c:pt idx="1">
                  <c:v>0.58000000000000007</c:v>
                </c:pt>
                <c:pt idx="2">
                  <c:v>0.47499999999999998</c:v>
                </c:pt>
                <c:pt idx="3">
                  <c:v>0.4</c:v>
                </c:pt>
                <c:pt idx="4">
                  <c:v>0.4</c:v>
                </c:pt>
                <c:pt idx="5">
                  <c:v>0.6</c:v>
                </c:pt>
                <c:pt idx="6">
                  <c:v>0.58260869565217388</c:v>
                </c:pt>
                <c:pt idx="7">
                  <c:v>0.6</c:v>
                </c:pt>
                <c:pt idx="8">
                  <c:v>0.6</c:v>
                </c:pt>
                <c:pt idx="9">
                  <c:v>0.6</c:v>
                </c:pt>
                <c:pt idx="10">
                  <c:v>0.6</c:v>
                </c:pt>
                <c:pt idx="11">
                  <c:v>0.6</c:v>
                </c:pt>
              </c:numCache>
            </c:numRef>
          </c:val>
          <c:extLst>
            <c:ext xmlns:c15="http://schemas.microsoft.com/office/drawing/2012/chart" uri="{02D57815-91ED-43cb-92C2-25804820EDAC}">
              <c15:filteredCategoryTitle>
                <c15:cat>
                  <c:multiLvlStrRef>
                    <c:extLst>
                      <c:ext uri="{02D57815-91ED-43cb-92C2-25804820EDAC}">
                        <c15:formulaRef>
                          <c15:sqref>'Risk Assessment'!$K$2:$L$12</c15:sqref>
                        </c15:formulaRef>
                      </c:ext>
                    </c:extLst>
                  </c:multiLvlStrRef>
                </c15:cat>
              </c15:filteredCategoryTitle>
            </c:ext>
            <c:ext xmlns:c16="http://schemas.microsoft.com/office/drawing/2014/chart" uri="{C3380CC4-5D6E-409C-BE32-E72D297353CC}">
              <c16:uniqueId val="{00000001-E207-43C1-BF71-6291D312B62C}"/>
            </c:ext>
          </c:extLst>
        </c:ser>
        <c:dLbls>
          <c:showLegendKey val="0"/>
          <c:showVal val="0"/>
          <c:showCatName val="0"/>
          <c:showSerName val="0"/>
          <c:showPercent val="0"/>
          <c:showBubbleSize val="0"/>
        </c:dLbls>
        <c:axId val="195607288"/>
        <c:axId val="195606112"/>
      </c:radarChart>
      <c:catAx>
        <c:axId val="195607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6112"/>
        <c:crosses val="autoZero"/>
        <c:auto val="1"/>
        <c:lblAlgn val="ctr"/>
        <c:lblOffset val="100"/>
        <c:noMultiLvlLbl val="0"/>
      </c:catAx>
      <c:valAx>
        <c:axId val="195606112"/>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Scoring</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Scoring!$M$6</c:f>
              <c:strCache>
                <c:ptCount val="1"/>
                <c:pt idx="0">
                  <c:v>The MFI Score </c:v>
                </c:pt>
              </c:strCache>
            </c:strRef>
          </c:tx>
          <c:spPr>
            <a:solidFill>
              <a:schemeClr val="accent1"/>
            </a:solidFill>
            <a:ln>
              <a:noFill/>
            </a:ln>
            <a:effectLst/>
          </c:spPr>
          <c:invertIfNegative val="0"/>
          <c:val>
            <c:numRef>
              <c:f>Scoring!$M$7:$M$9</c:f>
              <c:numCache>
                <c:formatCode>0%</c:formatCode>
                <c:ptCount val="3"/>
                <c:pt idx="0">
                  <c:v>0.23162523342670402</c:v>
                </c:pt>
                <c:pt idx="1">
                  <c:v>0.12916666666666668</c:v>
                </c:pt>
                <c:pt idx="2">
                  <c:v>0.11865284974093264</c:v>
                </c:pt>
              </c:numCache>
            </c:numRef>
          </c:val>
          <c:extLst>
            <c:ext xmlns:c15="http://schemas.microsoft.com/office/drawing/2012/chart" uri="{02D57815-91ED-43cb-92C2-25804820EDAC}">
              <c15:filteredCategoryTitle>
                <c15:cat>
                  <c:multiLvlStrRef>
                    <c:extLst>
                      <c:ext uri="{02D57815-91ED-43cb-92C2-25804820EDAC}">
                        <c15:formulaRef>
                          <c15:sqref>Scoring!$L$7:$L$9</c15:sqref>
                        </c15:formulaRef>
                      </c:ext>
                    </c:extLst>
                  </c:multiLvlStrRef>
                </c15:cat>
              </c15:filteredCategoryTitle>
            </c:ext>
            <c:ext xmlns:c16="http://schemas.microsoft.com/office/drawing/2014/chart" uri="{C3380CC4-5D6E-409C-BE32-E72D297353CC}">
              <c16:uniqueId val="{00000000-C89E-4345-980F-75B69DBF86F9}"/>
            </c:ext>
          </c:extLst>
        </c:ser>
        <c:ser>
          <c:idx val="1"/>
          <c:order val="1"/>
          <c:tx>
            <c:strRef>
              <c:f>Scoring!$N$6</c:f>
              <c:strCache>
                <c:ptCount val="1"/>
                <c:pt idx="0">
                  <c:v>Score </c:v>
                </c:pt>
              </c:strCache>
            </c:strRef>
          </c:tx>
          <c:spPr>
            <a:solidFill>
              <a:schemeClr val="accent2"/>
            </a:solidFill>
            <a:ln>
              <a:noFill/>
            </a:ln>
            <a:effectLst/>
          </c:spPr>
          <c:invertIfNegative val="0"/>
          <c:val>
            <c:numRef>
              <c:f>Scoring!$N$7:$N$9</c:f>
              <c:numCache>
                <c:formatCode>0%</c:formatCode>
                <c:ptCount val="3"/>
                <c:pt idx="0">
                  <c:v>0.5</c:v>
                </c:pt>
                <c:pt idx="1">
                  <c:v>0.25</c:v>
                </c:pt>
                <c:pt idx="2">
                  <c:v>0.25</c:v>
                </c:pt>
              </c:numCache>
            </c:numRef>
          </c:val>
          <c:extLst>
            <c:ext xmlns:c15="http://schemas.microsoft.com/office/drawing/2012/chart" uri="{02D57815-91ED-43cb-92C2-25804820EDAC}">
              <c15:filteredCategoryTitle>
                <c15:cat>
                  <c:multiLvlStrRef>
                    <c:extLst>
                      <c:ext uri="{02D57815-91ED-43cb-92C2-25804820EDAC}">
                        <c15:formulaRef>
                          <c15:sqref>Scoring!$L$7:$L$9</c15:sqref>
                        </c15:formulaRef>
                      </c:ext>
                    </c:extLst>
                  </c:multiLvlStrRef>
                </c15:cat>
              </c15:filteredCategoryTitle>
            </c:ext>
            <c:ext xmlns:c16="http://schemas.microsoft.com/office/drawing/2014/chart" uri="{C3380CC4-5D6E-409C-BE32-E72D297353CC}">
              <c16:uniqueId val="{00000001-C89E-4345-980F-75B69DBF86F9}"/>
            </c:ext>
          </c:extLst>
        </c:ser>
        <c:dLbls>
          <c:showLegendKey val="0"/>
          <c:showVal val="0"/>
          <c:showCatName val="0"/>
          <c:showSerName val="0"/>
          <c:showPercent val="0"/>
          <c:showBubbleSize val="0"/>
        </c:dLbls>
        <c:gapWidth val="150"/>
        <c:axId val="195607680"/>
        <c:axId val="195616696"/>
      </c:barChart>
      <c:catAx>
        <c:axId val="195607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6696"/>
        <c:crosses val="autoZero"/>
        <c:auto val="1"/>
        <c:lblAlgn val="ctr"/>
        <c:lblOffset val="100"/>
        <c:noMultiLvlLbl val="0"/>
      </c:catAx>
      <c:valAx>
        <c:axId val="195616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Financial Performance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Scoring!$M$6</c:f>
              <c:strCache>
                <c:ptCount val="1"/>
                <c:pt idx="0">
                  <c:v>The MFI Score </c:v>
                </c:pt>
              </c:strCache>
            </c:strRef>
          </c:tx>
          <c:spPr>
            <a:solidFill>
              <a:schemeClr val="accent1"/>
            </a:solidFill>
            <a:ln>
              <a:noFill/>
            </a:ln>
            <a:effectLst/>
            <a:sp3d/>
          </c:spPr>
          <c:invertIfNegative val="0"/>
          <c:val>
            <c:numRef>
              <c:f>Scoring!$M$14:$M$18</c:f>
              <c:numCache>
                <c:formatCode>0%</c:formatCode>
                <c:ptCount val="5"/>
                <c:pt idx="0">
                  <c:v>0.20624999999999999</c:v>
                </c:pt>
                <c:pt idx="1">
                  <c:v>0.12837301587301589</c:v>
                </c:pt>
                <c:pt idx="2">
                  <c:v>0</c:v>
                </c:pt>
                <c:pt idx="3" formatCode="0.00%">
                  <c:v>3.0000000000000006E-2</c:v>
                </c:pt>
                <c:pt idx="4">
                  <c:v>9.8627450980392162E-2</c:v>
                </c:pt>
              </c:numCache>
            </c:numRef>
          </c:val>
          <c:extLst>
            <c:ext xmlns:c15="http://schemas.microsoft.com/office/drawing/2012/chart" uri="{02D57815-91ED-43cb-92C2-25804820EDAC}">
              <c15:filteredCategoryTitle>
                <c15:cat>
                  <c:multiLvlStrRef>
                    <c:extLst>
                      <c:ext uri="{02D57815-91ED-43cb-92C2-25804820EDAC}">
                        <c15:formulaRef>
                          <c15:sqref>Scoring!$L$14:$L$18</c15:sqref>
                        </c15:formulaRef>
                      </c:ext>
                    </c:extLst>
                  </c:multiLvlStrRef>
                </c15:cat>
              </c15:filteredCategoryTitle>
            </c:ext>
            <c:ext xmlns:c16="http://schemas.microsoft.com/office/drawing/2014/chart" uri="{C3380CC4-5D6E-409C-BE32-E72D297353CC}">
              <c16:uniqueId val="{00000000-0179-4549-A9CC-29BD138D8CB6}"/>
            </c:ext>
          </c:extLst>
        </c:ser>
        <c:ser>
          <c:idx val="1"/>
          <c:order val="1"/>
          <c:tx>
            <c:strRef>
              <c:f>Scoring!$N$6</c:f>
              <c:strCache>
                <c:ptCount val="1"/>
                <c:pt idx="0">
                  <c:v>Score </c:v>
                </c:pt>
              </c:strCache>
            </c:strRef>
          </c:tx>
          <c:spPr>
            <a:solidFill>
              <a:schemeClr val="accent2"/>
            </a:solidFill>
            <a:ln>
              <a:noFill/>
            </a:ln>
            <a:effectLst/>
            <a:sp3d/>
          </c:spPr>
          <c:invertIfNegative val="0"/>
          <c:val>
            <c:numRef>
              <c:f>Scoring!$N$14:$N$18</c:f>
              <c:numCache>
                <c:formatCode>0%</c:formatCode>
                <c:ptCount val="5"/>
                <c:pt idx="0">
                  <c:v>0.25</c:v>
                </c:pt>
                <c:pt idx="1">
                  <c:v>0.25</c:v>
                </c:pt>
                <c:pt idx="2">
                  <c:v>0.25</c:v>
                </c:pt>
                <c:pt idx="3">
                  <c:v>0.1</c:v>
                </c:pt>
                <c:pt idx="4">
                  <c:v>0.15000000000000002</c:v>
                </c:pt>
              </c:numCache>
            </c:numRef>
          </c:val>
          <c:extLst>
            <c:ext xmlns:c15="http://schemas.microsoft.com/office/drawing/2012/chart" uri="{02D57815-91ED-43cb-92C2-25804820EDAC}">
              <c15:filteredCategoryTitle>
                <c15:cat>
                  <c:multiLvlStrRef>
                    <c:extLst>
                      <c:ext uri="{02D57815-91ED-43cb-92C2-25804820EDAC}">
                        <c15:formulaRef>
                          <c15:sqref>Scoring!$L$14:$L$18</c15:sqref>
                        </c15:formulaRef>
                      </c:ext>
                    </c:extLst>
                  </c:multiLvlStrRef>
                </c15:cat>
              </c15:filteredCategoryTitle>
            </c:ext>
            <c:ext xmlns:c16="http://schemas.microsoft.com/office/drawing/2014/chart" uri="{C3380CC4-5D6E-409C-BE32-E72D297353CC}">
              <c16:uniqueId val="{00000001-0179-4549-A9CC-29BD138D8CB6}"/>
            </c:ext>
          </c:extLst>
        </c:ser>
        <c:dLbls>
          <c:showLegendKey val="0"/>
          <c:showVal val="0"/>
          <c:showCatName val="0"/>
          <c:showSerName val="0"/>
          <c:showPercent val="0"/>
          <c:showBubbleSize val="0"/>
        </c:dLbls>
        <c:gapWidth val="150"/>
        <c:shape val="box"/>
        <c:axId val="195610816"/>
        <c:axId val="195608072"/>
        <c:axId val="0"/>
      </c:bar3DChart>
      <c:catAx>
        <c:axId val="195610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8072"/>
        <c:crosses val="autoZero"/>
        <c:auto val="1"/>
        <c:lblAlgn val="ctr"/>
        <c:lblOffset val="100"/>
        <c:noMultiLvlLbl val="0"/>
      </c:catAx>
      <c:valAx>
        <c:axId val="195608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1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zoomScale="6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sheetViews>
    <sheetView zoomScale="6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emf"/><Relationship Id="rId1" Type="http://schemas.openxmlformats.org/officeDocument/2006/relationships/image" Target="../media/image5.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3</xdr:col>
      <xdr:colOff>326965</xdr:colOff>
      <xdr:row>4</xdr:row>
      <xdr:rowOff>59035</xdr:rowOff>
    </xdr:to>
    <xdr:pic>
      <xdr:nvPicPr>
        <xdr:cNvPr id="2" name="Picture 1" descr="A close up of a logo  Description automatically generated">
          <a:extLst>
            <a:ext uri="{FF2B5EF4-FFF2-40B4-BE49-F238E27FC236}">
              <a16:creationId xmlns:a16="http://schemas.microsoft.com/office/drawing/2014/main" id="{E386E41C-6991-4FA0-9252-E883C75F3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1"/>
          <a:ext cx="2247205" cy="771504"/>
        </a:xfrm>
        <a:prstGeom prst="rect">
          <a:avLst/>
        </a:prstGeom>
      </xdr:spPr>
    </xdr:pic>
    <xdr:clientData/>
  </xdr:twoCellAnchor>
  <xdr:twoCellAnchor>
    <xdr:from>
      <xdr:col>3</xdr:col>
      <xdr:colOff>354328</xdr:colOff>
      <xdr:row>0</xdr:row>
      <xdr:rowOff>1</xdr:rowOff>
    </xdr:from>
    <xdr:to>
      <xdr:col>12</xdr:col>
      <xdr:colOff>3810</xdr:colOff>
      <xdr:row>4</xdr:row>
      <xdr:rowOff>76201</xdr:rowOff>
    </xdr:to>
    <xdr:grpSp>
      <xdr:nvGrpSpPr>
        <xdr:cNvPr id="3" name="Group 2">
          <a:extLst>
            <a:ext uri="{FF2B5EF4-FFF2-40B4-BE49-F238E27FC236}">
              <a16:creationId xmlns:a16="http://schemas.microsoft.com/office/drawing/2014/main" id="{D1FA8563-5957-4B6E-993C-AC875C555B1E}"/>
            </a:ext>
          </a:extLst>
        </xdr:cNvPr>
        <xdr:cNvGrpSpPr/>
      </xdr:nvGrpSpPr>
      <xdr:grpSpPr>
        <a:xfrm>
          <a:off x="2183128" y="1"/>
          <a:ext cx="5135882" cy="838200"/>
          <a:chOff x="2771772" y="0"/>
          <a:chExt cx="5353053" cy="809625"/>
        </a:xfrm>
      </xdr:grpSpPr>
      <xdr:pic>
        <xdr:nvPicPr>
          <xdr:cNvPr id="4" name="Image 15">
            <a:extLst>
              <a:ext uri="{FF2B5EF4-FFF2-40B4-BE49-F238E27FC236}">
                <a16:creationId xmlns:a16="http://schemas.microsoft.com/office/drawing/2014/main" id="{6E80E8CF-97B0-2CF5-9D44-1A3287E2F7EB}"/>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5" name="Image 15">
            <a:extLst>
              <a:ext uri="{FF2B5EF4-FFF2-40B4-BE49-F238E27FC236}">
                <a16:creationId xmlns:a16="http://schemas.microsoft.com/office/drawing/2014/main" id="{55513FB1-2FE1-D91E-54C3-6DAEFDBA68DD}"/>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13</xdr:col>
          <xdr:colOff>342900</xdr:colOff>
          <xdr:row>11</xdr:row>
          <xdr:rowOff>57150</xdr:rowOff>
        </xdr:from>
        <xdr:to>
          <xdr:col>26</xdr:col>
          <xdr:colOff>371475</xdr:colOff>
          <xdr:row>28</xdr:row>
          <xdr:rowOff>152400</xdr:rowOff>
        </xdr:to>
        <xdr:pic>
          <xdr:nvPicPr>
            <xdr:cNvPr id="8" name="Picture 7">
              <a:extLst>
                <a:ext uri="{FF2B5EF4-FFF2-40B4-BE49-F238E27FC236}">
                  <a16:creationId xmlns:a16="http://schemas.microsoft.com/office/drawing/2014/main" id="{E23A28B5-AA41-8CF8-2AFB-B0216645D1A1}"/>
                </a:ext>
              </a:extLst>
            </xdr:cNvPr>
            <xdr:cNvPicPr>
              <a:picLocks noChangeAspect="1" noChangeArrowheads="1"/>
              <a:extLst>
                <a:ext uri="{84589F7E-364E-4C9E-8A38-B11213B215E9}">
                  <a14:cameraTool cellRange="$A$5:$L$21" spid="_x0000_s3107"/>
                </a:ext>
              </a:extLst>
            </xdr:cNvPicPr>
          </xdr:nvPicPr>
          <xdr:blipFill>
            <a:blip xmlns:r="http://schemas.openxmlformats.org/officeDocument/2006/relationships" r:embed="rId3"/>
            <a:srcRect/>
            <a:stretch>
              <a:fillRect/>
            </a:stretch>
          </xdr:blipFill>
          <xdr:spPr bwMode="auto">
            <a:xfrm>
              <a:off x="8267700" y="2228850"/>
              <a:ext cx="7324725" cy="46577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0</xdr:row>
      <xdr:rowOff>164433</xdr:rowOff>
    </xdr:from>
    <xdr:to>
      <xdr:col>1</xdr:col>
      <xdr:colOff>2421104</xdr:colOff>
      <xdr:row>0</xdr:row>
      <xdr:rowOff>678783</xdr:rowOff>
    </xdr:to>
    <xdr:pic>
      <xdr:nvPicPr>
        <xdr:cNvPr id="20" name="Picture 19" descr="A close up of a logo  Description automatically generated">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164433"/>
          <a:ext cx="2325854" cy="514350"/>
        </a:xfrm>
        <a:prstGeom prst="rect">
          <a:avLst/>
        </a:prstGeom>
      </xdr:spPr>
    </xdr:pic>
    <xdr:clientData/>
  </xdr:twoCellAnchor>
  <xdr:twoCellAnchor>
    <xdr:from>
      <xdr:col>1</xdr:col>
      <xdr:colOff>2419350</xdr:colOff>
      <xdr:row>0</xdr:row>
      <xdr:rowOff>22860</xdr:rowOff>
    </xdr:from>
    <xdr:to>
      <xdr:col>9</xdr:col>
      <xdr:colOff>1299210</xdr:colOff>
      <xdr:row>0</xdr:row>
      <xdr:rowOff>743297</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762250" y="22860"/>
          <a:ext cx="8900160" cy="720437"/>
          <a:chOff x="3002105" y="0"/>
          <a:chExt cx="10024135" cy="720437"/>
        </a:xfrm>
      </xdr:grpSpPr>
      <xdr:pic>
        <xdr:nvPicPr>
          <xdr:cNvPr id="22" name="Image 15">
            <a:extLst>
              <a:ext uri="{FF2B5EF4-FFF2-40B4-BE49-F238E27FC236}">
                <a16:creationId xmlns:a16="http://schemas.microsoft.com/office/drawing/2014/main" id="{00000000-0008-0000-0A00-000016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23" name="Image 15">
            <a:extLst>
              <a:ext uri="{FF2B5EF4-FFF2-40B4-BE49-F238E27FC236}">
                <a16:creationId xmlns:a16="http://schemas.microsoft.com/office/drawing/2014/main" id="{00000000-0008-0000-0A00-000017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pic>
        <xdr:nvPicPr>
          <xdr:cNvPr id="24" name="Image 15">
            <a:extLst>
              <a:ext uri="{FF2B5EF4-FFF2-40B4-BE49-F238E27FC236}">
                <a16:creationId xmlns:a16="http://schemas.microsoft.com/office/drawing/2014/main" id="{00000000-0008-0000-0A00-000018000000}"/>
              </a:ext>
            </a:extLst>
          </xdr:cNvPr>
          <xdr:cNvPicPr>
            <a:picLocks noChangeAspect="1"/>
          </xdr:cNvPicPr>
        </xdr:nvPicPr>
        <xdr:blipFill rotWithShape="1">
          <a:blip xmlns:r="http://schemas.openxmlformats.org/officeDocument/2006/relationships" r:embed="rId2"/>
          <a:srcRect t="50087"/>
          <a:stretch/>
        </xdr:blipFill>
        <xdr:spPr>
          <a:xfrm rot="10800000">
            <a:off x="7955105" y="38100"/>
            <a:ext cx="2617432" cy="657225"/>
          </a:xfrm>
          <a:prstGeom prst="rect">
            <a:avLst/>
          </a:prstGeom>
        </xdr:spPr>
      </xdr:pic>
      <xdr:pic>
        <xdr:nvPicPr>
          <xdr:cNvPr id="25" name="Image 15">
            <a:extLst>
              <a:ext uri="{FF2B5EF4-FFF2-40B4-BE49-F238E27FC236}">
                <a16:creationId xmlns:a16="http://schemas.microsoft.com/office/drawing/2014/main" id="{00000000-0008-0000-0A00-000019000000}"/>
              </a:ext>
            </a:extLst>
          </xdr:cNvPr>
          <xdr:cNvPicPr>
            <a:picLocks noChangeAspect="1"/>
          </xdr:cNvPicPr>
        </xdr:nvPicPr>
        <xdr:blipFill rotWithShape="1">
          <a:blip xmlns:r="http://schemas.openxmlformats.org/officeDocument/2006/relationships" r:embed="rId2"/>
          <a:srcRect t="50087"/>
          <a:stretch/>
        </xdr:blipFill>
        <xdr:spPr>
          <a:xfrm rot="10800000">
            <a:off x="10429661" y="63212"/>
            <a:ext cx="2596579" cy="65722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0</xdr:row>
      <xdr:rowOff>295277</xdr:rowOff>
    </xdr:from>
    <xdr:to>
      <xdr:col>1</xdr:col>
      <xdr:colOff>2254667</xdr:colOff>
      <xdr:row>0</xdr:row>
      <xdr:rowOff>809627</xdr:rowOff>
    </xdr:to>
    <xdr:pic>
      <xdr:nvPicPr>
        <xdr:cNvPr id="2" name="Picture 1" descr="A close up of a logo  Description automatically generated">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295277"/>
          <a:ext cx="2321342" cy="514350"/>
        </a:xfrm>
        <a:prstGeom prst="rect">
          <a:avLst/>
        </a:prstGeom>
      </xdr:spPr>
    </xdr:pic>
    <xdr:clientData/>
  </xdr:twoCellAnchor>
  <xdr:twoCellAnchor>
    <xdr:from>
      <xdr:col>1</xdr:col>
      <xdr:colOff>2392505</xdr:colOff>
      <xdr:row>0</xdr:row>
      <xdr:rowOff>190500</xdr:rowOff>
    </xdr:from>
    <xdr:to>
      <xdr:col>9</xdr:col>
      <xdr:colOff>1447799</xdr:colOff>
      <xdr:row>0</xdr:row>
      <xdr:rowOff>920461</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2697305" y="190500"/>
          <a:ext cx="11590194" cy="729961"/>
          <a:chOff x="3002105" y="0"/>
          <a:chExt cx="12018819" cy="729961"/>
        </a:xfrm>
      </xdr:grpSpPr>
      <xdr:pic>
        <xdr:nvPicPr>
          <xdr:cNvPr id="4" name="Image 15">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5" name="Image 15">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pic>
        <xdr:nvPicPr>
          <xdr:cNvPr id="6" name="Image 1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2"/>
          <a:srcRect t="50087"/>
          <a:stretch/>
        </xdr:blipFill>
        <xdr:spPr>
          <a:xfrm rot="10800000">
            <a:off x="7955105" y="38100"/>
            <a:ext cx="2617432" cy="657225"/>
          </a:xfrm>
          <a:prstGeom prst="rect">
            <a:avLst/>
          </a:prstGeom>
        </xdr:spPr>
      </xdr:pic>
      <xdr:pic>
        <xdr:nvPicPr>
          <xdr:cNvPr id="7" name="Image 15">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2"/>
          <a:srcRect t="50087"/>
          <a:stretch/>
        </xdr:blipFill>
        <xdr:spPr>
          <a:xfrm rot="10800000">
            <a:off x="10429661" y="63212"/>
            <a:ext cx="2596579" cy="657225"/>
          </a:xfrm>
          <a:prstGeom prst="rect">
            <a:avLst/>
          </a:prstGeom>
        </xdr:spPr>
      </xdr:pic>
      <xdr:pic>
        <xdr:nvPicPr>
          <xdr:cNvPr id="8" name="Image 15">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2"/>
          <a:srcRect l="18923" t="50087"/>
          <a:stretch/>
        </xdr:blipFill>
        <xdr:spPr>
          <a:xfrm rot="10800000">
            <a:off x="12915685" y="72736"/>
            <a:ext cx="2105239" cy="657225"/>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161927</xdr:rowOff>
    </xdr:from>
    <xdr:to>
      <xdr:col>1</xdr:col>
      <xdr:colOff>2317260</xdr:colOff>
      <xdr:row>0</xdr:row>
      <xdr:rowOff>676277</xdr:rowOff>
    </xdr:to>
    <xdr:pic>
      <xdr:nvPicPr>
        <xdr:cNvPr id="2" name="Picture 1" descr="A close up of a logo  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61927"/>
          <a:ext cx="2317260" cy="514350"/>
        </a:xfrm>
        <a:prstGeom prst="rect">
          <a:avLst/>
        </a:prstGeom>
      </xdr:spPr>
    </xdr:pic>
    <xdr:clientData/>
  </xdr:twoCellAnchor>
  <xdr:twoCellAnchor>
    <xdr:from>
      <xdr:col>1</xdr:col>
      <xdr:colOff>2423160</xdr:colOff>
      <xdr:row>0</xdr:row>
      <xdr:rowOff>41910</xdr:rowOff>
    </xdr:from>
    <xdr:to>
      <xdr:col>13</xdr:col>
      <xdr:colOff>948690</xdr:colOff>
      <xdr:row>0</xdr:row>
      <xdr:rowOff>771871</xdr:rowOff>
    </xdr:to>
    <xdr:grpSp>
      <xdr:nvGrpSpPr>
        <xdr:cNvPr id="3" name="Group 2">
          <a:extLst>
            <a:ext uri="{FF2B5EF4-FFF2-40B4-BE49-F238E27FC236}">
              <a16:creationId xmlns:a16="http://schemas.microsoft.com/office/drawing/2014/main" id="{BAAD836F-701D-42E7-95ED-9EC880EC3160}"/>
            </a:ext>
          </a:extLst>
        </xdr:cNvPr>
        <xdr:cNvGrpSpPr/>
      </xdr:nvGrpSpPr>
      <xdr:grpSpPr>
        <a:xfrm>
          <a:off x="2680335" y="41910"/>
          <a:ext cx="11365230" cy="729961"/>
          <a:chOff x="3002105" y="0"/>
          <a:chExt cx="12018819" cy="729961"/>
        </a:xfrm>
      </xdr:grpSpPr>
      <xdr:pic>
        <xdr:nvPicPr>
          <xdr:cNvPr id="4" name="Image 15">
            <a:extLst>
              <a:ext uri="{FF2B5EF4-FFF2-40B4-BE49-F238E27FC236}">
                <a16:creationId xmlns:a16="http://schemas.microsoft.com/office/drawing/2014/main" id="{7DC4E51A-9A0E-F0FE-0025-62DCF43AAF86}"/>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5" name="Image 15">
            <a:extLst>
              <a:ext uri="{FF2B5EF4-FFF2-40B4-BE49-F238E27FC236}">
                <a16:creationId xmlns:a16="http://schemas.microsoft.com/office/drawing/2014/main" id="{28632936-287E-66D5-4ABC-A670FDD53BBB}"/>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pic>
        <xdr:nvPicPr>
          <xdr:cNvPr id="6" name="Image 15">
            <a:extLst>
              <a:ext uri="{FF2B5EF4-FFF2-40B4-BE49-F238E27FC236}">
                <a16:creationId xmlns:a16="http://schemas.microsoft.com/office/drawing/2014/main" id="{195A99F4-C3F3-477E-60FB-1B37DC4AD403}"/>
              </a:ext>
            </a:extLst>
          </xdr:cNvPr>
          <xdr:cNvPicPr>
            <a:picLocks noChangeAspect="1"/>
          </xdr:cNvPicPr>
        </xdr:nvPicPr>
        <xdr:blipFill rotWithShape="1">
          <a:blip xmlns:r="http://schemas.openxmlformats.org/officeDocument/2006/relationships" r:embed="rId2"/>
          <a:srcRect t="50087"/>
          <a:stretch/>
        </xdr:blipFill>
        <xdr:spPr>
          <a:xfrm rot="10800000">
            <a:off x="7955105" y="38100"/>
            <a:ext cx="2617432" cy="657225"/>
          </a:xfrm>
          <a:prstGeom prst="rect">
            <a:avLst/>
          </a:prstGeom>
        </xdr:spPr>
      </xdr:pic>
      <xdr:pic>
        <xdr:nvPicPr>
          <xdr:cNvPr id="7" name="Image 15">
            <a:extLst>
              <a:ext uri="{FF2B5EF4-FFF2-40B4-BE49-F238E27FC236}">
                <a16:creationId xmlns:a16="http://schemas.microsoft.com/office/drawing/2014/main" id="{912151D0-04FE-B512-0BBC-F6163E531A51}"/>
              </a:ext>
            </a:extLst>
          </xdr:cNvPr>
          <xdr:cNvPicPr>
            <a:picLocks noChangeAspect="1"/>
          </xdr:cNvPicPr>
        </xdr:nvPicPr>
        <xdr:blipFill rotWithShape="1">
          <a:blip xmlns:r="http://schemas.openxmlformats.org/officeDocument/2006/relationships" r:embed="rId2"/>
          <a:srcRect t="50087"/>
          <a:stretch/>
        </xdr:blipFill>
        <xdr:spPr>
          <a:xfrm rot="10800000">
            <a:off x="10429661" y="63212"/>
            <a:ext cx="2596579" cy="657225"/>
          </a:xfrm>
          <a:prstGeom prst="rect">
            <a:avLst/>
          </a:prstGeom>
        </xdr:spPr>
      </xdr:pic>
      <xdr:pic>
        <xdr:nvPicPr>
          <xdr:cNvPr id="8" name="Image 15">
            <a:extLst>
              <a:ext uri="{FF2B5EF4-FFF2-40B4-BE49-F238E27FC236}">
                <a16:creationId xmlns:a16="http://schemas.microsoft.com/office/drawing/2014/main" id="{592A3BEF-5862-30E2-FFC0-979FA20503FB}"/>
              </a:ext>
            </a:extLst>
          </xdr:cNvPr>
          <xdr:cNvPicPr>
            <a:picLocks noChangeAspect="1"/>
          </xdr:cNvPicPr>
        </xdr:nvPicPr>
        <xdr:blipFill rotWithShape="1">
          <a:blip xmlns:r="http://schemas.openxmlformats.org/officeDocument/2006/relationships" r:embed="rId2"/>
          <a:srcRect l="18923" t="50087"/>
          <a:stretch/>
        </xdr:blipFill>
        <xdr:spPr>
          <a:xfrm rot="10800000">
            <a:off x="12915685" y="72736"/>
            <a:ext cx="2105239" cy="657225"/>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1</xdr:row>
      <xdr:rowOff>11208</xdr:rowOff>
    </xdr:from>
    <xdr:to>
      <xdr:col>1</xdr:col>
      <xdr:colOff>69360</xdr:colOff>
      <xdr:row>4</xdr:row>
      <xdr:rowOff>28353</xdr:rowOff>
    </xdr:to>
    <xdr:pic>
      <xdr:nvPicPr>
        <xdr:cNvPr id="62" name="Picture 61" descr="A close up of a logo  Description automatically generated">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01708"/>
          <a:ext cx="2317260" cy="607695"/>
        </a:xfrm>
        <a:prstGeom prst="rect">
          <a:avLst/>
        </a:prstGeom>
      </xdr:spPr>
    </xdr:pic>
    <xdr:clientData/>
  </xdr:twoCellAnchor>
  <xdr:twoCellAnchor>
    <xdr:from>
      <xdr:col>1</xdr:col>
      <xdr:colOff>82028</xdr:colOff>
      <xdr:row>0</xdr:row>
      <xdr:rowOff>35970</xdr:rowOff>
    </xdr:from>
    <xdr:to>
      <xdr:col>8</xdr:col>
      <xdr:colOff>1969770</xdr:colOff>
      <xdr:row>3</xdr:row>
      <xdr:rowOff>179517</xdr:rowOff>
    </xdr:to>
    <xdr:grpSp>
      <xdr:nvGrpSpPr>
        <xdr:cNvPr id="66" name="Group 65">
          <a:extLst>
            <a:ext uri="{FF2B5EF4-FFF2-40B4-BE49-F238E27FC236}">
              <a16:creationId xmlns:a16="http://schemas.microsoft.com/office/drawing/2014/main" id="{00000000-0008-0000-0E00-000042000000}"/>
            </a:ext>
          </a:extLst>
        </xdr:cNvPr>
        <xdr:cNvGrpSpPr/>
      </xdr:nvGrpSpPr>
      <xdr:grpSpPr>
        <a:xfrm>
          <a:off x="2368028" y="35970"/>
          <a:ext cx="12889117" cy="724572"/>
          <a:chOff x="3002105" y="0"/>
          <a:chExt cx="5071135" cy="682337"/>
        </a:xfrm>
      </xdr:grpSpPr>
      <xdr:pic>
        <xdr:nvPicPr>
          <xdr:cNvPr id="67" name="Image 15">
            <a:extLst>
              <a:ext uri="{FF2B5EF4-FFF2-40B4-BE49-F238E27FC236}">
                <a16:creationId xmlns:a16="http://schemas.microsoft.com/office/drawing/2014/main" id="{00000000-0008-0000-0E00-000043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68" name="Image 15">
            <a:extLst>
              <a:ext uri="{FF2B5EF4-FFF2-40B4-BE49-F238E27FC236}">
                <a16:creationId xmlns:a16="http://schemas.microsoft.com/office/drawing/2014/main" id="{00000000-0008-0000-0E00-000044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142875</xdr:colOff>
      <xdr:row>0</xdr:row>
      <xdr:rowOff>190502</xdr:rowOff>
    </xdr:from>
    <xdr:to>
      <xdr:col>1</xdr:col>
      <xdr:colOff>2460135</xdr:colOff>
      <xdr:row>0</xdr:row>
      <xdr:rowOff>704852</xdr:rowOff>
    </xdr:to>
    <xdr:pic>
      <xdr:nvPicPr>
        <xdr:cNvPr id="11" name="Picture 10" descr="A close up of a logo  Description automatically generated">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190502"/>
          <a:ext cx="2317260" cy="514350"/>
        </a:xfrm>
        <a:prstGeom prst="rect">
          <a:avLst/>
        </a:prstGeom>
      </xdr:spPr>
    </xdr:pic>
    <xdr:clientData/>
  </xdr:twoCellAnchor>
  <xdr:twoCellAnchor>
    <xdr:from>
      <xdr:col>1</xdr:col>
      <xdr:colOff>2597974</xdr:colOff>
      <xdr:row>0</xdr:row>
      <xdr:rowOff>85725</xdr:rowOff>
    </xdr:from>
    <xdr:to>
      <xdr:col>5</xdr:col>
      <xdr:colOff>639500</xdr:colOff>
      <xdr:row>0</xdr:row>
      <xdr:rowOff>768062</xdr:rowOff>
    </xdr:to>
    <xdr:grpSp>
      <xdr:nvGrpSpPr>
        <xdr:cNvPr id="12" name="Group 11">
          <a:extLst>
            <a:ext uri="{FF2B5EF4-FFF2-40B4-BE49-F238E27FC236}">
              <a16:creationId xmlns:a16="http://schemas.microsoft.com/office/drawing/2014/main" id="{00000000-0008-0000-0D00-00000C000000}"/>
            </a:ext>
          </a:extLst>
        </xdr:cNvPr>
        <xdr:cNvGrpSpPr/>
      </xdr:nvGrpSpPr>
      <xdr:grpSpPr>
        <a:xfrm>
          <a:off x="2774867" y="85725"/>
          <a:ext cx="5008383" cy="682337"/>
          <a:chOff x="3002105" y="0"/>
          <a:chExt cx="5071135" cy="682337"/>
        </a:xfrm>
      </xdr:grpSpPr>
      <xdr:pic>
        <xdr:nvPicPr>
          <xdr:cNvPr id="13" name="Image 15">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14" name="Image 15">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grpSp>
    <xdr:clientData/>
  </xdr:twoCellAnchor>
  <xdr:twoCellAnchor>
    <xdr:from>
      <xdr:col>5</xdr:col>
      <xdr:colOff>521524</xdr:colOff>
      <xdr:row>0</xdr:row>
      <xdr:rowOff>123825</xdr:rowOff>
    </xdr:from>
    <xdr:to>
      <xdr:col>9</xdr:col>
      <xdr:colOff>1039550</xdr:colOff>
      <xdr:row>0</xdr:row>
      <xdr:rowOff>806162</xdr:rowOff>
    </xdr:to>
    <xdr:grpSp>
      <xdr:nvGrpSpPr>
        <xdr:cNvPr id="15" name="Group 14">
          <a:extLst>
            <a:ext uri="{FF2B5EF4-FFF2-40B4-BE49-F238E27FC236}">
              <a16:creationId xmlns:a16="http://schemas.microsoft.com/office/drawing/2014/main" id="{00000000-0008-0000-0D00-00000F000000}"/>
            </a:ext>
          </a:extLst>
        </xdr:cNvPr>
        <xdr:cNvGrpSpPr/>
      </xdr:nvGrpSpPr>
      <xdr:grpSpPr>
        <a:xfrm>
          <a:off x="7665274" y="123825"/>
          <a:ext cx="4994776" cy="682337"/>
          <a:chOff x="3002105" y="0"/>
          <a:chExt cx="5071135" cy="682337"/>
        </a:xfrm>
      </xdr:grpSpPr>
      <xdr:pic>
        <xdr:nvPicPr>
          <xdr:cNvPr id="16" name="Image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17" name="Image 15">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grpSp>
    <xdr:clientData/>
  </xdr:twoCellAnchor>
  <xdr:twoCellAnchor>
    <xdr:from>
      <xdr:col>9</xdr:col>
      <xdr:colOff>912049</xdr:colOff>
      <xdr:row>0</xdr:row>
      <xdr:rowOff>161925</xdr:rowOff>
    </xdr:from>
    <xdr:to>
      <xdr:col>11</xdr:col>
      <xdr:colOff>1990725</xdr:colOff>
      <xdr:row>0</xdr:row>
      <xdr:rowOff>844261</xdr:rowOff>
    </xdr:to>
    <xdr:grpSp>
      <xdr:nvGrpSpPr>
        <xdr:cNvPr id="18" name="Group 17">
          <a:extLst>
            <a:ext uri="{FF2B5EF4-FFF2-40B4-BE49-F238E27FC236}">
              <a16:creationId xmlns:a16="http://schemas.microsoft.com/office/drawing/2014/main" id="{00000000-0008-0000-0D00-000012000000}"/>
            </a:ext>
          </a:extLst>
        </xdr:cNvPr>
        <xdr:cNvGrpSpPr/>
      </xdr:nvGrpSpPr>
      <xdr:grpSpPr>
        <a:xfrm>
          <a:off x="12532549" y="161925"/>
          <a:ext cx="3527962" cy="682336"/>
          <a:chOff x="3002105" y="0"/>
          <a:chExt cx="3583352" cy="682336"/>
        </a:xfrm>
      </xdr:grpSpPr>
      <xdr:pic>
        <xdr:nvPicPr>
          <xdr:cNvPr id="19" name="Image 15">
            <a:extLst>
              <a:ext uri="{FF2B5EF4-FFF2-40B4-BE49-F238E27FC236}">
                <a16:creationId xmlns:a16="http://schemas.microsoft.com/office/drawing/2014/main" id="{00000000-0008-0000-0D00-000013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20" name="Image 15">
            <a:extLst>
              <a:ext uri="{FF2B5EF4-FFF2-40B4-BE49-F238E27FC236}">
                <a16:creationId xmlns:a16="http://schemas.microsoft.com/office/drawing/2014/main" id="{00000000-0008-0000-0D00-000014000000}"/>
              </a:ext>
            </a:extLst>
          </xdr:cNvPr>
          <xdr:cNvPicPr>
            <a:picLocks noChangeAspect="1"/>
          </xdr:cNvPicPr>
        </xdr:nvPicPr>
        <xdr:blipFill rotWithShape="1">
          <a:blip xmlns:r="http://schemas.openxmlformats.org/officeDocument/2006/relationships" r:embed="rId2"/>
          <a:srcRect l="57298" t="50087"/>
          <a:stretch/>
        </xdr:blipFill>
        <xdr:spPr>
          <a:xfrm rot="10800000">
            <a:off x="5476661" y="25111"/>
            <a:ext cx="1108796" cy="657225"/>
          </a:xfrm>
          <a:prstGeom prst="rect">
            <a:avLst/>
          </a:prstGeom>
        </xdr:spPr>
      </xdr:pic>
    </xdr:grpSp>
    <xdr:clientData/>
  </xdr:twoCellAnchor>
  <xdr:twoCellAnchor>
    <xdr:from>
      <xdr:col>7</xdr:col>
      <xdr:colOff>848085</xdr:colOff>
      <xdr:row>46</xdr:row>
      <xdr:rowOff>30215</xdr:rowOff>
    </xdr:from>
    <xdr:to>
      <xdr:col>11</xdr:col>
      <xdr:colOff>760999</xdr:colOff>
      <xdr:row>62</xdr:row>
      <xdr:rowOff>156882</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323849</xdr:colOff>
      <xdr:row>4</xdr:row>
      <xdr:rowOff>1</xdr:rowOff>
    </xdr:from>
    <xdr:to>
      <xdr:col>7</xdr:col>
      <xdr:colOff>614362</xdr:colOff>
      <xdr:row>20</xdr:row>
      <xdr:rowOff>2242</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358587</xdr:colOff>
      <xdr:row>45</xdr:row>
      <xdr:rowOff>189518</xdr:rowOff>
    </xdr:from>
    <xdr:to>
      <xdr:col>7</xdr:col>
      <xdr:colOff>596711</xdr:colOff>
      <xdr:row>62</xdr:row>
      <xdr:rowOff>168088</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297355</xdr:colOff>
      <xdr:row>64</xdr:row>
      <xdr:rowOff>123265</xdr:rowOff>
    </xdr:from>
    <xdr:to>
      <xdr:col>7</xdr:col>
      <xdr:colOff>593911</xdr:colOff>
      <xdr:row>81</xdr:row>
      <xdr:rowOff>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63034</xdr:colOff>
      <xdr:row>64</xdr:row>
      <xdr:rowOff>143294</xdr:rowOff>
    </xdr:from>
    <xdr:to>
      <xdr:col>3</xdr:col>
      <xdr:colOff>156882</xdr:colOff>
      <xdr:row>81</xdr:row>
      <xdr:rowOff>0</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46</xdr:row>
      <xdr:rowOff>18</xdr:rowOff>
    </xdr:from>
    <xdr:to>
      <xdr:col>3</xdr:col>
      <xdr:colOff>212912</xdr:colOff>
      <xdr:row>62</xdr:row>
      <xdr:rowOff>145677</xdr:rowOff>
    </xdr:to>
    <xdr:graphicFrame macro="">
      <xdr:nvGraphicFramePr>
        <xdr:cNvPr id="6" name="Chart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xdr:colOff>
      <xdr:row>3</xdr:row>
      <xdr:rowOff>291354</xdr:rowOff>
    </xdr:from>
    <xdr:to>
      <xdr:col>3</xdr:col>
      <xdr:colOff>190501</xdr:colOff>
      <xdr:row>20</xdr:row>
      <xdr:rowOff>22412</xdr:rowOff>
    </xdr:to>
    <xdr:graphicFrame macro="">
      <xdr:nvGraphicFramePr>
        <xdr:cNvPr id="23" name="Chart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1174298</xdr:colOff>
      <xdr:row>23</xdr:row>
      <xdr:rowOff>21768</xdr:rowOff>
    </xdr:from>
    <xdr:to>
      <xdr:col>8</xdr:col>
      <xdr:colOff>762000</xdr:colOff>
      <xdr:row>44</xdr:row>
      <xdr:rowOff>122463</xdr:rowOff>
    </xdr:to>
    <xdr:graphicFrame macro="">
      <xdr:nvGraphicFramePr>
        <xdr:cNvPr id="7" name="Chart 2">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884464</xdr:colOff>
      <xdr:row>4</xdr:row>
      <xdr:rowOff>37417</xdr:rowOff>
    </xdr:from>
    <xdr:to>
      <xdr:col>11</xdr:col>
      <xdr:colOff>1646463</xdr:colOff>
      <xdr:row>20</xdr:row>
      <xdr:rowOff>13606</xdr:rowOff>
    </xdr:to>
    <xdr:graphicFrame macro="">
      <xdr:nvGraphicFramePr>
        <xdr:cNvPr id="8" name="Chart 3">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1</xdr:col>
      <xdr:colOff>894655</xdr:colOff>
      <xdr:row>4</xdr:row>
      <xdr:rowOff>28555</xdr:rowOff>
    </xdr:to>
    <xdr:pic>
      <xdr:nvPicPr>
        <xdr:cNvPr id="2" name="Picture 1" descr="A close up of a logo  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1"/>
          <a:ext cx="2247205" cy="771504"/>
        </a:xfrm>
        <a:prstGeom prst="rect">
          <a:avLst/>
        </a:prstGeom>
      </xdr:spPr>
    </xdr:pic>
    <xdr:clientData/>
  </xdr:twoCellAnchor>
  <xdr:twoCellAnchor>
    <xdr:from>
      <xdr:col>1</xdr:col>
      <xdr:colOff>948690</xdr:colOff>
      <xdr:row>0</xdr:row>
      <xdr:rowOff>49530</xdr:rowOff>
    </xdr:from>
    <xdr:to>
      <xdr:col>6</xdr:col>
      <xdr:colOff>1363980</xdr:colOff>
      <xdr:row>4</xdr:row>
      <xdr:rowOff>97155</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2295797" y="49530"/>
          <a:ext cx="10626090" cy="809625"/>
          <a:chOff x="2771772" y="0"/>
          <a:chExt cx="5353053" cy="809625"/>
        </a:xfrm>
      </xdr:grpSpPr>
      <xdr:pic>
        <xdr:nvPicPr>
          <xdr:cNvPr id="4" name="Image 15">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5" name="Image 15">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123826</xdr:rowOff>
    </xdr:from>
    <xdr:to>
      <xdr:col>1</xdr:col>
      <xdr:colOff>866775</xdr:colOff>
      <xdr:row>0</xdr:row>
      <xdr:rowOff>895330</xdr:rowOff>
    </xdr:to>
    <xdr:pic>
      <xdr:nvPicPr>
        <xdr:cNvPr id="2" name="Picture 1" descr="A close up of a logo  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3826"/>
          <a:ext cx="2181225" cy="771504"/>
        </a:xfrm>
        <a:prstGeom prst="rect">
          <a:avLst/>
        </a:prstGeom>
      </xdr:spPr>
    </xdr:pic>
    <xdr:clientData/>
  </xdr:twoCellAnchor>
  <xdr:twoCellAnchor>
    <xdr:from>
      <xdr:col>1</xdr:col>
      <xdr:colOff>1000122</xdr:colOff>
      <xdr:row>0</xdr:row>
      <xdr:rowOff>85725</xdr:rowOff>
    </xdr:from>
    <xdr:to>
      <xdr:col>2</xdr:col>
      <xdr:colOff>3686175</xdr:colOff>
      <xdr:row>0</xdr:row>
      <xdr:rowOff>895350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2428872" y="85725"/>
          <a:ext cx="5353053" cy="809625"/>
          <a:chOff x="2771772" y="0"/>
          <a:chExt cx="5353053" cy="809625"/>
        </a:xfrm>
      </xdr:grpSpPr>
      <xdr:pic>
        <xdr:nvPicPr>
          <xdr:cNvPr id="4" name="Image 15">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5" name="Image 15">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twoCellAnchor>
    <xdr:from>
      <xdr:col>2</xdr:col>
      <xdr:colOff>3552822</xdr:colOff>
      <xdr:row>0</xdr:row>
      <xdr:rowOff>104775</xdr:rowOff>
    </xdr:from>
    <xdr:to>
      <xdr:col>2</xdr:col>
      <xdr:colOff>8296275</xdr:colOff>
      <xdr:row>0</xdr:row>
      <xdr:rowOff>914397</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7648572" y="104775"/>
          <a:ext cx="4743453" cy="809622"/>
          <a:chOff x="2771772" y="0"/>
          <a:chExt cx="4743453" cy="809622"/>
        </a:xfrm>
      </xdr:grpSpPr>
      <xdr:pic>
        <xdr:nvPicPr>
          <xdr:cNvPr id="7" name="Image 15">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37899" t="50087" r="1"/>
          <a:stretch/>
        </xdr:blipFill>
        <xdr:spPr>
          <a:xfrm rot="10800000">
            <a:off x="5553071" y="19047"/>
            <a:ext cx="1962154" cy="790575"/>
          </a:xfrm>
          <a:prstGeom prst="rect">
            <a:avLst/>
          </a:prstGeom>
        </xdr:spPr>
      </xdr:pic>
      <xdr:pic>
        <xdr:nvPicPr>
          <xdr:cNvPr id="8" name="Image 15">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absoluteAnchor>
    <xdr:pos x="0" y="0"/>
    <xdr:ext cx="8673523" cy="6306705"/>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73523" cy="6306705"/>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19051</xdr:rowOff>
    </xdr:from>
    <xdr:to>
      <xdr:col>1</xdr:col>
      <xdr:colOff>2247205</xdr:colOff>
      <xdr:row>1</xdr:row>
      <xdr:rowOff>790555</xdr:rowOff>
    </xdr:to>
    <xdr:pic>
      <xdr:nvPicPr>
        <xdr:cNvPr id="2" name="Picture 1" descr="A close up of a logo  Description automatically generated">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9551"/>
          <a:ext cx="2247205" cy="771504"/>
        </a:xfrm>
        <a:prstGeom prst="rect">
          <a:avLst/>
        </a:prstGeom>
      </xdr:spPr>
    </xdr:pic>
    <xdr:clientData/>
  </xdr:twoCellAnchor>
  <xdr:twoCellAnchor>
    <xdr:from>
      <xdr:col>1</xdr:col>
      <xdr:colOff>2333622</xdr:colOff>
      <xdr:row>0</xdr:row>
      <xdr:rowOff>133350</xdr:rowOff>
    </xdr:from>
    <xdr:to>
      <xdr:col>12</xdr:col>
      <xdr:colOff>552450</xdr:colOff>
      <xdr:row>1</xdr:row>
      <xdr:rowOff>752475</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2333622" y="133350"/>
          <a:ext cx="7000878" cy="809625"/>
          <a:chOff x="2771772" y="0"/>
          <a:chExt cx="5353053" cy="809625"/>
        </a:xfrm>
      </xdr:grpSpPr>
      <xdr:pic>
        <xdr:nvPicPr>
          <xdr:cNvPr id="4" name="Image 15">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5" name="Image 15">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3</xdr:col>
      <xdr:colOff>460315</xdr:colOff>
      <xdr:row>4</xdr:row>
      <xdr:rowOff>39984</xdr:rowOff>
    </xdr:to>
    <xdr:pic>
      <xdr:nvPicPr>
        <xdr:cNvPr id="2" name="Picture 1" descr="A close up of a logo  Description automatically generated">
          <a:extLst>
            <a:ext uri="{FF2B5EF4-FFF2-40B4-BE49-F238E27FC236}">
              <a16:creationId xmlns:a16="http://schemas.microsoft.com/office/drawing/2014/main" id="{3D1532F5-23B7-48A6-84A8-138579988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0"/>
          <a:ext cx="2155765" cy="801984"/>
        </a:xfrm>
        <a:prstGeom prst="rect">
          <a:avLst/>
        </a:prstGeom>
      </xdr:spPr>
    </xdr:pic>
    <xdr:clientData/>
  </xdr:twoCellAnchor>
  <xdr:twoCellAnchor>
    <xdr:from>
      <xdr:col>3</xdr:col>
      <xdr:colOff>403857</xdr:colOff>
      <xdr:row>0</xdr:row>
      <xdr:rowOff>0</xdr:rowOff>
    </xdr:from>
    <xdr:to>
      <xdr:col>9</xdr:col>
      <xdr:colOff>3859530</xdr:colOff>
      <xdr:row>4</xdr:row>
      <xdr:rowOff>78105</xdr:rowOff>
    </xdr:to>
    <xdr:grpSp>
      <xdr:nvGrpSpPr>
        <xdr:cNvPr id="3" name="Group 2">
          <a:extLst>
            <a:ext uri="{FF2B5EF4-FFF2-40B4-BE49-F238E27FC236}">
              <a16:creationId xmlns:a16="http://schemas.microsoft.com/office/drawing/2014/main" id="{6402497A-E0F4-48F5-A2C0-9E270A9C4845}"/>
            </a:ext>
          </a:extLst>
        </xdr:cNvPr>
        <xdr:cNvGrpSpPr/>
      </xdr:nvGrpSpPr>
      <xdr:grpSpPr>
        <a:xfrm>
          <a:off x="2232657" y="0"/>
          <a:ext cx="6837048" cy="840105"/>
          <a:chOff x="2771772" y="0"/>
          <a:chExt cx="5353053" cy="809625"/>
        </a:xfrm>
      </xdr:grpSpPr>
      <xdr:pic>
        <xdr:nvPicPr>
          <xdr:cNvPr id="4" name="Image 15">
            <a:extLst>
              <a:ext uri="{FF2B5EF4-FFF2-40B4-BE49-F238E27FC236}">
                <a16:creationId xmlns:a16="http://schemas.microsoft.com/office/drawing/2014/main" id="{2EF51D13-AB26-8158-ACAC-57E5F1C3DCFF}"/>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5" name="Image 15">
            <a:extLst>
              <a:ext uri="{FF2B5EF4-FFF2-40B4-BE49-F238E27FC236}">
                <a16:creationId xmlns:a16="http://schemas.microsoft.com/office/drawing/2014/main" id="{B6319D7F-029F-983E-6E0F-073FAC636E08}"/>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0</xdr:row>
      <xdr:rowOff>38101</xdr:rowOff>
    </xdr:from>
    <xdr:to>
      <xdr:col>1</xdr:col>
      <xdr:colOff>2313880</xdr:colOff>
      <xdr:row>0</xdr:row>
      <xdr:rowOff>809605</xdr:rowOff>
    </xdr:to>
    <xdr:pic>
      <xdr:nvPicPr>
        <xdr:cNvPr id="2" name="Picture 1" descr="A close up of a logo  Description automatically generated">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38101"/>
          <a:ext cx="2247205" cy="771504"/>
        </a:xfrm>
        <a:prstGeom prst="rect">
          <a:avLst/>
        </a:prstGeom>
      </xdr:spPr>
    </xdr:pic>
    <xdr:clientData/>
  </xdr:twoCellAnchor>
  <xdr:twoCellAnchor>
    <xdr:from>
      <xdr:col>1</xdr:col>
      <xdr:colOff>2428872</xdr:colOff>
      <xdr:row>0</xdr:row>
      <xdr:rowOff>19050</xdr:rowOff>
    </xdr:from>
    <xdr:to>
      <xdr:col>5</xdr:col>
      <xdr:colOff>1019175</xdr:colOff>
      <xdr:row>0</xdr:row>
      <xdr:rowOff>828675</xdr:rowOff>
    </xdr:to>
    <xdr:grpSp>
      <xdr:nvGrpSpPr>
        <xdr:cNvPr id="5" name="Group 4">
          <a:extLst>
            <a:ext uri="{FF2B5EF4-FFF2-40B4-BE49-F238E27FC236}">
              <a16:creationId xmlns:a16="http://schemas.microsoft.com/office/drawing/2014/main" id="{00000000-0008-0000-0300-000005000000}"/>
            </a:ext>
          </a:extLst>
        </xdr:cNvPr>
        <xdr:cNvGrpSpPr/>
      </xdr:nvGrpSpPr>
      <xdr:grpSpPr>
        <a:xfrm>
          <a:off x="2819397" y="19050"/>
          <a:ext cx="5514978" cy="809625"/>
          <a:chOff x="2771772" y="0"/>
          <a:chExt cx="5353053" cy="809625"/>
        </a:xfrm>
      </xdr:grpSpPr>
      <xdr:pic>
        <xdr:nvPicPr>
          <xdr:cNvPr id="3" name="Image 15">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18607" t="50087"/>
          <a:stretch/>
        </xdr:blipFill>
        <xdr:spPr>
          <a:xfrm rot="10800000">
            <a:off x="5553071" y="19050"/>
            <a:ext cx="2571754" cy="790575"/>
          </a:xfrm>
          <a:prstGeom prst="rect">
            <a:avLst/>
          </a:prstGeom>
        </xdr:spPr>
      </xdr:pic>
      <xdr:pic>
        <xdr:nvPicPr>
          <xdr:cNvPr id="4" name="Image 15">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t="50087"/>
          <a:stretch/>
        </xdr:blipFill>
        <xdr:spPr>
          <a:xfrm rot="10800000">
            <a:off x="2771772" y="0"/>
            <a:ext cx="2911003" cy="790575"/>
          </a:xfrm>
          <a:prstGeom prst="rect">
            <a:avLst/>
          </a:prstGeom>
        </xdr:spPr>
      </xdr:pic>
    </xdr:grpSp>
    <xdr:clientData/>
  </xdr:twoCellAnchor>
  <xdr:twoCellAnchor>
    <xdr:from>
      <xdr:col>5</xdr:col>
      <xdr:colOff>857246</xdr:colOff>
      <xdr:row>0</xdr:row>
      <xdr:rowOff>28573</xdr:rowOff>
    </xdr:from>
    <xdr:to>
      <xdr:col>8</xdr:col>
      <xdr:colOff>66674</xdr:colOff>
      <xdr:row>0</xdr:row>
      <xdr:rowOff>819148</xdr:rowOff>
    </xdr:to>
    <xdr:pic>
      <xdr:nvPicPr>
        <xdr:cNvPr id="8" name="Image 15">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2"/>
        <a:srcRect l="18694" t="50087"/>
        <a:stretch/>
      </xdr:blipFill>
      <xdr:spPr>
        <a:xfrm rot="10800000">
          <a:off x="8172446" y="28573"/>
          <a:ext cx="2638428" cy="79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179294</xdr:colOff>
      <xdr:row>0</xdr:row>
      <xdr:rowOff>19051</xdr:rowOff>
    </xdr:from>
    <xdr:to>
      <xdr:col>1</xdr:col>
      <xdr:colOff>550074</xdr:colOff>
      <xdr:row>4</xdr:row>
      <xdr:rowOff>28555</xdr:rowOff>
    </xdr:to>
    <xdr:pic>
      <xdr:nvPicPr>
        <xdr:cNvPr id="2" name="Picture 1" descr="A close up of a logo  Description automatically generated">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94" y="19051"/>
          <a:ext cx="2242162" cy="771504"/>
        </a:xfrm>
        <a:prstGeom prst="rect">
          <a:avLst/>
        </a:prstGeom>
      </xdr:spPr>
    </xdr:pic>
    <xdr:clientData/>
  </xdr:twoCellAnchor>
  <xdr:twoCellAnchor>
    <xdr:from>
      <xdr:col>1</xdr:col>
      <xdr:colOff>400047</xdr:colOff>
      <xdr:row>0</xdr:row>
      <xdr:rowOff>0</xdr:rowOff>
    </xdr:from>
    <xdr:to>
      <xdr:col>3</xdr:col>
      <xdr:colOff>4181474</xdr:colOff>
      <xdr:row>4</xdr:row>
      <xdr:rowOff>28575</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271429" y="0"/>
          <a:ext cx="11632829" cy="790575"/>
          <a:chOff x="2771768" y="0"/>
          <a:chExt cx="11953229" cy="790575"/>
        </a:xfrm>
      </xdr:grpSpPr>
      <xdr:pic>
        <xdr:nvPicPr>
          <xdr:cNvPr id="4" name="Image 15">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l="18607" t="50087"/>
          <a:stretch/>
        </xdr:blipFill>
        <xdr:spPr>
          <a:xfrm rot="10800000">
            <a:off x="8762040" y="0"/>
            <a:ext cx="5962957" cy="790575"/>
          </a:xfrm>
          <a:prstGeom prst="rect">
            <a:avLst/>
          </a:prstGeom>
        </xdr:spPr>
      </xdr:pic>
      <xdr:pic>
        <xdr:nvPicPr>
          <xdr:cNvPr id="5" name="Image 15">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t="50087"/>
          <a:stretch/>
        </xdr:blipFill>
        <xdr:spPr>
          <a:xfrm rot="10800000">
            <a:off x="2771768" y="0"/>
            <a:ext cx="6272487" cy="790574"/>
          </a:xfrm>
          <a:prstGeom prst="rect">
            <a:avLst/>
          </a:prstGeom>
        </xdr:spPr>
      </xdr:pic>
    </xdr:grpSp>
    <xdr:clientData/>
  </xdr:twoCellAnchor>
  <xdr:twoCellAnchor>
    <xdr:from>
      <xdr:col>2</xdr:col>
      <xdr:colOff>0</xdr:colOff>
      <xdr:row>0</xdr:row>
      <xdr:rowOff>19041</xdr:rowOff>
    </xdr:from>
    <xdr:to>
      <xdr:col>2</xdr:col>
      <xdr:colOff>0</xdr:colOff>
      <xdr:row>4</xdr:row>
      <xdr:rowOff>59328</xdr:rowOff>
    </xdr:to>
    <xdr:pic>
      <xdr:nvPicPr>
        <xdr:cNvPr id="6" name="Image 1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8694" t="50087"/>
        <a:stretch/>
      </xdr:blipFill>
      <xdr:spPr>
        <a:xfrm rot="10800000">
          <a:off x="9991724" y="19041"/>
          <a:ext cx="4648197" cy="8022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76199</xdr:rowOff>
    </xdr:from>
    <xdr:to>
      <xdr:col>1</xdr:col>
      <xdr:colOff>678654</xdr:colOff>
      <xdr:row>0</xdr:row>
      <xdr:rowOff>619124</xdr:rowOff>
    </xdr:to>
    <xdr:pic>
      <xdr:nvPicPr>
        <xdr:cNvPr id="4" name="Picture 3" descr="A close up of a logo  Description automatically generated">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199"/>
          <a:ext cx="2450304" cy="542925"/>
        </a:xfrm>
        <a:prstGeom prst="rect">
          <a:avLst/>
        </a:prstGeom>
      </xdr:spPr>
    </xdr:pic>
    <xdr:clientData/>
  </xdr:twoCellAnchor>
  <xdr:twoCellAnchor editAs="oneCell">
    <xdr:from>
      <xdr:col>1</xdr:col>
      <xdr:colOff>5735167</xdr:colOff>
      <xdr:row>0</xdr:row>
      <xdr:rowOff>0</xdr:rowOff>
    </xdr:from>
    <xdr:to>
      <xdr:col>4</xdr:col>
      <xdr:colOff>4082</xdr:colOff>
      <xdr:row>0</xdr:row>
      <xdr:rowOff>714372</xdr:rowOff>
    </xdr:to>
    <xdr:pic>
      <xdr:nvPicPr>
        <xdr:cNvPr id="8" name="Image 15">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t="50087"/>
        <a:stretch/>
      </xdr:blipFill>
      <xdr:spPr>
        <a:xfrm rot="10800000">
          <a:off x="7661938" y="0"/>
          <a:ext cx="8633976" cy="714372"/>
        </a:xfrm>
        <a:prstGeom prst="rect">
          <a:avLst/>
        </a:prstGeom>
      </xdr:spPr>
    </xdr:pic>
    <xdr:clientData/>
  </xdr:twoCellAnchor>
  <xdr:twoCellAnchor editAs="oneCell">
    <xdr:from>
      <xdr:col>1</xdr:col>
      <xdr:colOff>684117</xdr:colOff>
      <xdr:row>0</xdr:row>
      <xdr:rowOff>30255</xdr:rowOff>
    </xdr:from>
    <xdr:to>
      <xdr:col>1</xdr:col>
      <xdr:colOff>5995146</xdr:colOff>
      <xdr:row>0</xdr:row>
      <xdr:rowOff>744627</xdr:rowOff>
    </xdr:to>
    <xdr:pic>
      <xdr:nvPicPr>
        <xdr:cNvPr id="9" name="Image 15">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2"/>
        <a:srcRect t="50087"/>
        <a:stretch/>
      </xdr:blipFill>
      <xdr:spPr>
        <a:xfrm rot="10800000">
          <a:off x="2454646" y="30255"/>
          <a:ext cx="5311029" cy="714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623453</xdr:colOff>
      <xdr:row>0</xdr:row>
      <xdr:rowOff>85723</xdr:rowOff>
    </xdr:from>
    <xdr:to>
      <xdr:col>14</xdr:col>
      <xdr:colOff>0</xdr:colOff>
      <xdr:row>0</xdr:row>
      <xdr:rowOff>799233</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813953" y="85723"/>
          <a:ext cx="14461766" cy="713510"/>
          <a:chOff x="817841" y="85723"/>
          <a:chExt cx="12632359" cy="713510"/>
        </a:xfrm>
      </xdr:grpSpPr>
      <xdr:pic>
        <xdr:nvPicPr>
          <xdr:cNvPr id="5" name="Picture 4" descr="A close up of a logo  Description automatically generated">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841" y="161925"/>
            <a:ext cx="2321342" cy="514350"/>
          </a:xfrm>
          <a:prstGeom prst="rect">
            <a:avLst/>
          </a:prstGeom>
        </xdr:spPr>
      </xdr:pic>
      <xdr:pic>
        <xdr:nvPicPr>
          <xdr:cNvPr id="6" name="Image 1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srcRect t="50087"/>
          <a:stretch/>
        </xdr:blipFill>
        <xdr:spPr>
          <a:xfrm rot="10800000">
            <a:off x="3467521" y="85723"/>
            <a:ext cx="2617432" cy="657225"/>
          </a:xfrm>
          <a:prstGeom prst="rect">
            <a:avLst/>
          </a:prstGeom>
        </xdr:spPr>
      </xdr:pic>
      <xdr:pic>
        <xdr:nvPicPr>
          <xdr:cNvPr id="7" name="Image 15">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2"/>
          <a:srcRect t="50087"/>
          <a:stretch/>
        </xdr:blipFill>
        <xdr:spPr>
          <a:xfrm rot="10800000">
            <a:off x="5942077" y="110835"/>
            <a:ext cx="2596579" cy="657225"/>
          </a:xfrm>
          <a:prstGeom prst="rect">
            <a:avLst/>
          </a:prstGeom>
        </xdr:spPr>
      </xdr:pic>
      <xdr:pic>
        <xdr:nvPicPr>
          <xdr:cNvPr id="8" name="Image 15">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2"/>
          <a:srcRect t="50087"/>
          <a:stretch/>
        </xdr:blipFill>
        <xdr:spPr>
          <a:xfrm rot="10800000">
            <a:off x="8392317" y="116896"/>
            <a:ext cx="2604179" cy="657225"/>
          </a:xfrm>
          <a:prstGeom prst="rect">
            <a:avLst/>
          </a:prstGeom>
        </xdr:spPr>
      </xdr:pic>
      <xdr:pic>
        <xdr:nvPicPr>
          <xdr:cNvPr id="9" name="Image 15">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2"/>
          <a:srcRect t="50087"/>
          <a:stretch/>
        </xdr:blipFill>
        <xdr:spPr>
          <a:xfrm rot="10800000">
            <a:off x="10853620" y="142008"/>
            <a:ext cx="2596580" cy="65722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0</xdr:row>
      <xdr:rowOff>133352</xdr:rowOff>
    </xdr:from>
    <xdr:to>
      <xdr:col>1</xdr:col>
      <xdr:colOff>2511842</xdr:colOff>
      <xdr:row>0</xdr:row>
      <xdr:rowOff>647702</xdr:rowOff>
    </xdr:to>
    <xdr:pic>
      <xdr:nvPicPr>
        <xdr:cNvPr id="5" name="Picture 4" descr="A close up of a logo  Description automatically generated">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33352"/>
          <a:ext cx="2321342" cy="514350"/>
        </a:xfrm>
        <a:prstGeom prst="rect">
          <a:avLst/>
        </a:prstGeom>
      </xdr:spPr>
    </xdr:pic>
    <xdr:clientData/>
  </xdr:twoCellAnchor>
  <xdr:twoCellAnchor>
    <xdr:from>
      <xdr:col>1</xdr:col>
      <xdr:colOff>2649680</xdr:colOff>
      <xdr:row>0</xdr:row>
      <xdr:rowOff>28575</xdr:rowOff>
    </xdr:from>
    <xdr:to>
      <xdr:col>15</xdr:col>
      <xdr:colOff>0</xdr:colOff>
      <xdr:row>0</xdr:row>
      <xdr:rowOff>758536</xdr:rowOff>
    </xdr:to>
    <xdr:grpSp>
      <xdr:nvGrpSpPr>
        <xdr:cNvPr id="11" name="Group 10">
          <a:extLst>
            <a:ext uri="{FF2B5EF4-FFF2-40B4-BE49-F238E27FC236}">
              <a16:creationId xmlns:a16="http://schemas.microsoft.com/office/drawing/2014/main" id="{00000000-0008-0000-0800-00000B000000}"/>
            </a:ext>
          </a:extLst>
        </xdr:cNvPr>
        <xdr:cNvGrpSpPr/>
      </xdr:nvGrpSpPr>
      <xdr:grpSpPr>
        <a:xfrm>
          <a:off x="3002105" y="28575"/>
          <a:ext cx="11942620" cy="729961"/>
          <a:chOff x="3002105" y="0"/>
          <a:chExt cx="12018819" cy="729961"/>
        </a:xfrm>
      </xdr:grpSpPr>
      <xdr:pic>
        <xdr:nvPicPr>
          <xdr:cNvPr id="6" name="Image 1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7" name="Image 15">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pic>
        <xdr:nvPicPr>
          <xdr:cNvPr id="8" name="Image 15">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a:srcRect t="50087"/>
          <a:stretch/>
        </xdr:blipFill>
        <xdr:spPr>
          <a:xfrm rot="10800000">
            <a:off x="7955105" y="38100"/>
            <a:ext cx="2617432" cy="657225"/>
          </a:xfrm>
          <a:prstGeom prst="rect">
            <a:avLst/>
          </a:prstGeom>
        </xdr:spPr>
      </xdr:pic>
      <xdr:pic>
        <xdr:nvPicPr>
          <xdr:cNvPr id="9" name="Image 15">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2"/>
          <a:srcRect t="50087"/>
          <a:stretch/>
        </xdr:blipFill>
        <xdr:spPr>
          <a:xfrm rot="10800000">
            <a:off x="10429661" y="63212"/>
            <a:ext cx="2596579" cy="657225"/>
          </a:xfrm>
          <a:prstGeom prst="rect">
            <a:avLst/>
          </a:prstGeom>
        </xdr:spPr>
      </xdr:pic>
      <xdr:pic>
        <xdr:nvPicPr>
          <xdr:cNvPr id="10" name="Image 15">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2"/>
          <a:srcRect l="18923" t="50087"/>
          <a:stretch/>
        </xdr:blipFill>
        <xdr:spPr>
          <a:xfrm rot="10800000">
            <a:off x="12915685" y="72736"/>
            <a:ext cx="2105239" cy="657225"/>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114302</xdr:rowOff>
    </xdr:from>
    <xdr:to>
      <xdr:col>0</xdr:col>
      <xdr:colOff>2416592</xdr:colOff>
      <xdr:row>0</xdr:row>
      <xdr:rowOff>628652</xdr:rowOff>
    </xdr:to>
    <xdr:pic>
      <xdr:nvPicPr>
        <xdr:cNvPr id="2" name="Picture 1" descr="A close up of a logo  Description automatically generated">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2"/>
          <a:ext cx="2321342" cy="514350"/>
        </a:xfrm>
        <a:prstGeom prst="rect">
          <a:avLst/>
        </a:prstGeom>
      </xdr:spPr>
    </xdr:pic>
    <xdr:clientData/>
  </xdr:twoCellAnchor>
  <xdr:twoCellAnchor>
    <xdr:from>
      <xdr:col>0</xdr:col>
      <xdr:colOff>2440130</xdr:colOff>
      <xdr:row>0</xdr:row>
      <xdr:rowOff>0</xdr:rowOff>
    </xdr:from>
    <xdr:to>
      <xdr:col>13</xdr:col>
      <xdr:colOff>480060</xdr:colOff>
      <xdr:row>0</xdr:row>
      <xdr:rowOff>729961</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2440130" y="0"/>
          <a:ext cx="14413405" cy="729961"/>
          <a:chOff x="3002105" y="0"/>
          <a:chExt cx="12018819" cy="729961"/>
        </a:xfrm>
      </xdr:grpSpPr>
      <xdr:pic>
        <xdr:nvPicPr>
          <xdr:cNvPr id="4" name="Image 15">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srcRect t="50087"/>
          <a:stretch/>
        </xdr:blipFill>
        <xdr:spPr>
          <a:xfrm rot="10800000">
            <a:off x="3002105" y="0"/>
            <a:ext cx="2617432" cy="657225"/>
          </a:xfrm>
          <a:prstGeom prst="rect">
            <a:avLst/>
          </a:prstGeom>
        </xdr:spPr>
      </xdr:pic>
      <xdr:pic>
        <xdr:nvPicPr>
          <xdr:cNvPr id="5" name="Image 15">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t="50087"/>
          <a:stretch/>
        </xdr:blipFill>
        <xdr:spPr>
          <a:xfrm rot="10800000">
            <a:off x="5476661" y="25112"/>
            <a:ext cx="2596579" cy="657225"/>
          </a:xfrm>
          <a:prstGeom prst="rect">
            <a:avLst/>
          </a:prstGeom>
        </xdr:spPr>
      </xdr:pic>
      <xdr:pic>
        <xdr:nvPicPr>
          <xdr:cNvPr id="6" name="Image 1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2"/>
          <a:srcRect t="50087"/>
          <a:stretch/>
        </xdr:blipFill>
        <xdr:spPr>
          <a:xfrm rot="10800000">
            <a:off x="7955105" y="38100"/>
            <a:ext cx="2617432" cy="657225"/>
          </a:xfrm>
          <a:prstGeom prst="rect">
            <a:avLst/>
          </a:prstGeom>
        </xdr:spPr>
      </xdr:pic>
      <xdr:pic>
        <xdr:nvPicPr>
          <xdr:cNvPr id="7" name="Image 15">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2"/>
          <a:srcRect t="50087"/>
          <a:stretch/>
        </xdr:blipFill>
        <xdr:spPr>
          <a:xfrm rot="10800000">
            <a:off x="10429661" y="63212"/>
            <a:ext cx="2596579" cy="657225"/>
          </a:xfrm>
          <a:prstGeom prst="rect">
            <a:avLst/>
          </a:prstGeom>
        </xdr:spPr>
      </xdr:pic>
      <xdr:pic>
        <xdr:nvPicPr>
          <xdr:cNvPr id="8" name="Image 15">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a:srcRect l="18923" t="50087"/>
          <a:stretch/>
        </xdr:blipFill>
        <xdr:spPr>
          <a:xfrm rot="10800000">
            <a:off x="12915685" y="72736"/>
            <a:ext cx="2105239" cy="65722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d1fa8d6a79c74a/Documents/My%20Files/MEDstarts/New%20project%20Toolkit/Coopmed%202019%2009%2017%20INP%20ETHM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and Info"/>
      <sheetName val="Portfolio"/>
      <sheetName val="Income Statement"/>
      <sheetName val="Balance"/>
      <sheetName val="FX Risk"/>
      <sheetName val="Funding"/>
      <sheetName val="Org Info"/>
      <sheetName val="KPI's"/>
      <sheetName val="SP Data"/>
      <sheetName val="Graphs"/>
      <sheetName val="Sheet1"/>
      <sheetName val="Dedicated PF"/>
      <sheetName val="Definitions"/>
      <sheetName val="Translations"/>
      <sheetName val="Lists"/>
      <sheetName val="VBA"/>
      <sheetName val="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Use only local currency unless stated otherwise</v>
          </cell>
        </row>
      </sheetData>
      <sheetData sheetId="14">
        <row r="2">
          <cell r="A2" t="str">
            <v>English</v>
          </cell>
          <cell r="B2" t="str">
            <v>Yes</v>
          </cell>
          <cell r="E2" t="str">
            <v>Male</v>
          </cell>
          <cell r="F2" t="str">
            <v>NGO</v>
          </cell>
        </row>
        <row r="3">
          <cell r="A3" t="str">
            <v>Français</v>
          </cell>
          <cell r="B3" t="str">
            <v>No</v>
          </cell>
          <cell r="E3" t="str">
            <v>Female</v>
          </cell>
          <cell r="F3" t="str">
            <v xml:space="preserve">Foundation </v>
          </cell>
        </row>
        <row r="4">
          <cell r="F4" t="str">
            <v>NBFI</v>
          </cell>
        </row>
        <row r="5">
          <cell r="F5" t="str">
            <v xml:space="preserve">Microfinance bank </v>
          </cell>
        </row>
        <row r="6">
          <cell r="F6" t="str">
            <v>Cooperative bank</v>
          </cell>
        </row>
        <row r="7">
          <cell r="F7" t="str">
            <v>Bank</v>
          </cell>
        </row>
        <row r="8">
          <cell r="F8" t="str">
            <v>Credit union / Mutual</v>
          </cell>
        </row>
        <row r="9">
          <cell r="F9" t="str">
            <v xml:space="preserve">Other (specify) </v>
          </cell>
        </row>
      </sheetData>
      <sheetData sheetId="15"/>
      <sheetData sheetId="16"/>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person displayName="Federico Bilder" id="{82EB474E-5C73-4CB5-B612-5E76E83D2312}" userId="Federico Bilder" providerId="None"/>
</personList>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2" dT="2022-07-20T04:59:33.96" personId="{82EB474E-5C73-4CB5-B612-5E76E83D2312}" id="{16E8A988-3158-49E6-BDB8-217B31D336F0}">
    <text>What is this for?</text>
  </threadedComment>
  <threadedComment ref="B13" dT="2022-07-20T04:59:44.44" personId="{82EB474E-5C73-4CB5-B612-5E76E83D2312}" id="{C3261C8D-70CD-4A1C-8B73-1838DB1E74D7}">
    <text>What is this for?</text>
  </threadedComment>
  <threadedComment ref="B15" dT="2022-07-20T04:59:54.37" personId="{82EB474E-5C73-4CB5-B612-5E76E83D2312}" id="{F96D5687-1A8E-41BC-96C7-7FC8BA2EEC38}">
    <text>What is this for?</text>
  </threadedComment>
</ThreadedComments>
</file>

<file path=xl/threadedComments/threadedComment2.xml><?xml version="1.0" encoding="utf-8"?>
<ThreadedComments xmlns="http://schemas.microsoft.com/office/spreadsheetml/2018/threadedcomments" xmlns:x="http://schemas.openxmlformats.org/spreadsheetml/2006/main">
  <threadedComment ref="A20" dT="2022-07-20T05:01:10.34" personId="{82EB474E-5C73-4CB5-B612-5E76E83D2312}" id="{1E5601CA-1AE8-456B-A0AB-DB96ADBBB594}">
    <text>Info is missing?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Q29"/>
  <sheetViews>
    <sheetView workbookViewId="0">
      <selection activeCell="A5" sqref="A5:L21"/>
    </sheetView>
  </sheetViews>
  <sheetFormatPr defaultRowHeight="15"/>
  <cols>
    <col min="15" max="15" width="8.85546875" customWidth="1"/>
    <col min="16" max="16" width="27.5703125" hidden="1" customWidth="1"/>
  </cols>
  <sheetData>
    <row r="6" spans="1:17" ht="18.75">
      <c r="A6" s="627" t="s">
        <v>716</v>
      </c>
      <c r="B6" s="628"/>
      <c r="C6" s="628"/>
      <c r="D6" s="628"/>
      <c r="E6" s="628"/>
      <c r="F6" s="628"/>
      <c r="G6" s="628"/>
      <c r="H6" s="628"/>
      <c r="I6" s="628"/>
      <c r="J6" s="628"/>
      <c r="K6" s="628"/>
      <c r="L6" s="628"/>
    </row>
    <row r="8" spans="1:17">
      <c r="A8" s="635" t="s">
        <v>720</v>
      </c>
      <c r="B8" s="635"/>
      <c r="C8" s="635"/>
      <c r="D8" s="635"/>
      <c r="E8" s="635"/>
      <c r="F8" s="635"/>
      <c r="G8" s="635"/>
      <c r="H8" s="635"/>
      <c r="I8" s="635"/>
      <c r="J8" s="635"/>
      <c r="K8" s="635"/>
      <c r="L8" s="635"/>
    </row>
    <row r="10" spans="1:17" ht="14.65" customHeight="1">
      <c r="A10" s="629" t="s">
        <v>717</v>
      </c>
      <c r="B10" s="630"/>
      <c r="C10" s="630"/>
      <c r="D10" s="631"/>
      <c r="E10" s="634"/>
      <c r="F10" s="634"/>
      <c r="G10" s="634"/>
      <c r="H10" s="634"/>
      <c r="I10" s="634"/>
      <c r="J10" s="634"/>
      <c r="K10" s="634"/>
      <c r="L10" s="634"/>
    </row>
    <row r="11" spans="1:17" ht="18" customHeight="1">
      <c r="A11" s="629" t="s">
        <v>286</v>
      </c>
      <c r="B11" s="630"/>
      <c r="C11" s="630"/>
      <c r="D11" s="631"/>
      <c r="E11" s="632" t="s">
        <v>287</v>
      </c>
      <c r="F11" s="632"/>
      <c r="G11" s="632"/>
      <c r="H11" s="633"/>
      <c r="I11" s="633"/>
      <c r="J11" s="633"/>
      <c r="K11" s="633"/>
      <c r="L11" s="633"/>
      <c r="P11" s="324" t="s">
        <v>289</v>
      </c>
      <c r="Q11" s="324"/>
    </row>
    <row r="12" spans="1:17" ht="18" customHeight="1">
      <c r="A12" s="644" t="s">
        <v>288</v>
      </c>
      <c r="B12" s="645"/>
      <c r="C12" s="645"/>
      <c r="D12" s="646"/>
      <c r="E12" s="643" t="s">
        <v>290</v>
      </c>
      <c r="F12" s="643"/>
      <c r="G12" s="643"/>
      <c r="H12" s="633"/>
      <c r="I12" s="633"/>
      <c r="J12" s="633"/>
      <c r="K12" s="633"/>
      <c r="L12" s="633"/>
      <c r="P12" s="324" t="s">
        <v>290</v>
      </c>
      <c r="Q12" s="324"/>
    </row>
    <row r="13" spans="1:17" ht="18" customHeight="1">
      <c r="A13" s="644"/>
      <c r="B13" s="645"/>
      <c r="C13" s="645"/>
      <c r="D13" s="646"/>
      <c r="E13" s="643" t="s">
        <v>290</v>
      </c>
      <c r="F13" s="643"/>
      <c r="G13" s="643"/>
      <c r="H13" s="633"/>
      <c r="I13" s="633"/>
      <c r="J13" s="633"/>
      <c r="K13" s="633"/>
      <c r="L13" s="633"/>
      <c r="P13" s="324" t="s">
        <v>292</v>
      </c>
      <c r="Q13" s="324"/>
    </row>
    <row r="14" spans="1:17" ht="18" customHeight="1" thickBot="1">
      <c r="A14" s="578"/>
      <c r="B14" s="579"/>
      <c r="C14" s="579"/>
      <c r="P14" s="324" t="s">
        <v>293</v>
      </c>
      <c r="Q14" s="324"/>
    </row>
    <row r="15" spans="1:17" ht="18" customHeight="1">
      <c r="A15" s="644" t="s">
        <v>302</v>
      </c>
      <c r="B15" s="645"/>
      <c r="C15" s="645"/>
      <c r="D15" s="646"/>
      <c r="E15" s="637" t="s">
        <v>303</v>
      </c>
      <c r="F15" s="637"/>
      <c r="G15" s="637"/>
      <c r="H15" s="590"/>
      <c r="I15" s="637" t="s">
        <v>291</v>
      </c>
      <c r="J15" s="637"/>
      <c r="K15" s="638"/>
      <c r="L15" s="592"/>
      <c r="P15" s="324" t="s">
        <v>294</v>
      </c>
      <c r="Q15" s="324"/>
    </row>
    <row r="16" spans="1:17">
      <c r="A16" s="644"/>
      <c r="B16" s="645"/>
      <c r="C16" s="645"/>
      <c r="D16" s="646"/>
      <c r="E16" s="639" t="s">
        <v>304</v>
      </c>
      <c r="F16" s="639"/>
      <c r="G16" s="639"/>
      <c r="H16" s="589"/>
      <c r="I16" s="639" t="s">
        <v>305</v>
      </c>
      <c r="J16" s="639"/>
      <c r="K16" s="640"/>
      <c r="L16" s="593"/>
      <c r="P16" s="324"/>
      <c r="Q16" s="324"/>
    </row>
    <row r="17" spans="1:17" ht="18" customHeight="1" thickBot="1">
      <c r="A17" s="644"/>
      <c r="B17" s="645"/>
      <c r="C17" s="645"/>
      <c r="D17" s="646"/>
      <c r="E17" s="641" t="s">
        <v>306</v>
      </c>
      <c r="F17" s="641"/>
      <c r="G17" s="641"/>
      <c r="H17" s="591"/>
      <c r="I17" s="641"/>
      <c r="J17" s="641"/>
      <c r="K17" s="642"/>
      <c r="L17" s="594"/>
      <c r="P17" s="324"/>
      <c r="Q17" s="324"/>
    </row>
    <row r="18" spans="1:17" ht="45" customHeight="1">
      <c r="A18" s="636" t="s">
        <v>718</v>
      </c>
      <c r="B18" s="636"/>
      <c r="C18" s="636"/>
      <c r="D18" s="636"/>
      <c r="E18" s="625"/>
      <c r="F18" s="625"/>
      <c r="G18" s="625"/>
      <c r="H18" s="625"/>
      <c r="I18" s="625"/>
      <c r="J18" s="625"/>
      <c r="K18" s="625"/>
      <c r="L18" s="625"/>
      <c r="Q18" s="324"/>
    </row>
    <row r="19" spans="1:17" ht="30" customHeight="1">
      <c r="A19" s="636"/>
      <c r="B19" s="636"/>
      <c r="C19" s="636"/>
      <c r="D19" s="636"/>
      <c r="E19" s="625"/>
      <c r="F19" s="625"/>
      <c r="G19" s="625"/>
      <c r="H19" s="625"/>
      <c r="I19" s="625"/>
      <c r="J19" s="625"/>
      <c r="K19" s="625"/>
      <c r="L19" s="625"/>
      <c r="Q19" s="324"/>
    </row>
    <row r="20" spans="1:17" ht="30" customHeight="1">
      <c r="A20" s="636"/>
      <c r="B20" s="636"/>
      <c r="C20" s="636"/>
      <c r="D20" s="636"/>
      <c r="E20" s="625"/>
      <c r="F20" s="625"/>
      <c r="G20" s="625"/>
      <c r="H20" s="625"/>
      <c r="I20" s="625"/>
      <c r="J20" s="625"/>
      <c r="K20" s="625"/>
      <c r="L20" s="625"/>
      <c r="Q20" s="324"/>
    </row>
    <row r="21" spans="1:17" ht="45" customHeight="1">
      <c r="A21" s="636"/>
      <c r="B21" s="636"/>
      <c r="C21" s="636"/>
      <c r="D21" s="636"/>
      <c r="E21" s="625"/>
      <c r="F21" s="625"/>
      <c r="G21" s="625"/>
      <c r="H21" s="625"/>
      <c r="I21" s="625"/>
      <c r="J21" s="625"/>
      <c r="K21" s="625"/>
      <c r="L21" s="625"/>
      <c r="Q21" s="324"/>
    </row>
    <row r="23" spans="1:17" ht="14.65" customHeight="1">
      <c r="A23" s="635" t="s">
        <v>724</v>
      </c>
      <c r="B23" s="635"/>
      <c r="C23" s="635"/>
      <c r="D23" s="635"/>
      <c r="E23" s="635"/>
      <c r="F23" s="635"/>
      <c r="G23" s="635"/>
      <c r="H23" s="635"/>
      <c r="I23" s="635"/>
      <c r="J23" s="635"/>
      <c r="K23" s="635"/>
      <c r="L23" s="635"/>
    </row>
    <row r="25" spans="1:17">
      <c r="A25" s="626" t="s">
        <v>721</v>
      </c>
      <c r="B25" s="626"/>
      <c r="C25" s="626"/>
      <c r="D25" s="626" t="s">
        <v>722</v>
      </c>
      <c r="E25" s="626"/>
      <c r="F25" s="626"/>
      <c r="G25" s="626" t="s">
        <v>723</v>
      </c>
      <c r="H25" s="626"/>
      <c r="I25" s="626"/>
      <c r="J25" s="626" t="s">
        <v>719</v>
      </c>
      <c r="K25" s="626"/>
      <c r="L25" s="626"/>
    </row>
    <row r="26" spans="1:17">
      <c r="A26" s="625"/>
      <c r="B26" s="625"/>
      <c r="C26" s="625"/>
      <c r="D26" s="625"/>
      <c r="E26" s="625"/>
      <c r="F26" s="625"/>
      <c r="G26" s="625"/>
      <c r="H26" s="625"/>
      <c r="I26" s="625"/>
      <c r="J26" s="625"/>
      <c r="K26" s="625"/>
      <c r="L26" s="625"/>
    </row>
    <row r="27" spans="1:17">
      <c r="A27" s="625"/>
      <c r="B27" s="625"/>
      <c r="C27" s="625"/>
      <c r="D27" s="625"/>
      <c r="E27" s="625"/>
      <c r="F27" s="625"/>
      <c r="G27" s="625"/>
      <c r="H27" s="625"/>
      <c r="I27" s="625"/>
      <c r="J27" s="625"/>
      <c r="K27" s="625"/>
      <c r="L27" s="625"/>
    </row>
    <row r="28" spans="1:17">
      <c r="A28" s="625"/>
      <c r="B28" s="625"/>
      <c r="C28" s="625"/>
      <c r="D28" s="625"/>
      <c r="E28" s="625"/>
      <c r="F28" s="625"/>
      <c r="G28" s="625"/>
      <c r="H28" s="625"/>
      <c r="I28" s="625"/>
      <c r="J28" s="625"/>
      <c r="K28" s="625"/>
      <c r="L28" s="625"/>
    </row>
    <row r="29" spans="1:17">
      <c r="A29" s="625"/>
      <c r="B29" s="625"/>
      <c r="C29" s="625"/>
      <c r="D29" s="625"/>
      <c r="E29" s="625"/>
      <c r="F29" s="625"/>
      <c r="G29" s="625"/>
      <c r="H29" s="625"/>
      <c r="I29" s="625"/>
      <c r="J29" s="625"/>
      <c r="K29" s="625"/>
      <c r="L29" s="625"/>
    </row>
  </sheetData>
  <mergeCells count="44">
    <mergeCell ref="A12:D13"/>
    <mergeCell ref="A15:D16"/>
    <mergeCell ref="A17:D17"/>
    <mergeCell ref="E15:G15"/>
    <mergeCell ref="E16:G16"/>
    <mergeCell ref="E17:G17"/>
    <mergeCell ref="I15:K15"/>
    <mergeCell ref="I16:K16"/>
    <mergeCell ref="I17:K17"/>
    <mergeCell ref="E12:G12"/>
    <mergeCell ref="E13:G13"/>
    <mergeCell ref="H12:I12"/>
    <mergeCell ref="H13:I13"/>
    <mergeCell ref="J12:L12"/>
    <mergeCell ref="J13:L13"/>
    <mergeCell ref="A18:D21"/>
    <mergeCell ref="E18:L21"/>
    <mergeCell ref="A23:L23"/>
    <mergeCell ref="D25:F25"/>
    <mergeCell ref="D26:F26"/>
    <mergeCell ref="J25:L25"/>
    <mergeCell ref="J26:L26"/>
    <mergeCell ref="D27:F27"/>
    <mergeCell ref="D28:F28"/>
    <mergeCell ref="D29:F29"/>
    <mergeCell ref="A25:C25"/>
    <mergeCell ref="A26:C26"/>
    <mergeCell ref="A27:C27"/>
    <mergeCell ref="A28:C28"/>
    <mergeCell ref="A29:C29"/>
    <mergeCell ref="A6:L6"/>
    <mergeCell ref="A10:D10"/>
    <mergeCell ref="A11:D11"/>
    <mergeCell ref="E11:L11"/>
    <mergeCell ref="E10:L10"/>
    <mergeCell ref="A8:L8"/>
    <mergeCell ref="J27:L27"/>
    <mergeCell ref="J28:L28"/>
    <mergeCell ref="J29:L29"/>
    <mergeCell ref="G25:I25"/>
    <mergeCell ref="G26:I26"/>
    <mergeCell ref="G27:I27"/>
    <mergeCell ref="G28:I28"/>
    <mergeCell ref="G29:I29"/>
  </mergeCells>
  <conditionalFormatting sqref="E15">
    <cfRule type="cellIs" dxfId="44" priority="33" operator="equal">
      <formula>"_"</formula>
    </cfRule>
    <cfRule type="cellIs" dxfId="43" priority="34" operator="equal">
      <formula>""""""</formula>
    </cfRule>
    <cfRule type="cellIs" dxfId="42" priority="35" operator="equal">
      <formula>"C10≠C16 !!"</formula>
    </cfRule>
    <cfRule type="cellIs" dxfId="41" priority="36" operator="equal">
      <formula>"C10≠C16"</formula>
    </cfRule>
  </conditionalFormatting>
  <conditionalFormatting sqref="E16">
    <cfRule type="cellIs" dxfId="40" priority="29" operator="equal">
      <formula>"_"</formula>
    </cfRule>
    <cfRule type="cellIs" dxfId="39" priority="30" operator="equal">
      <formula>""""""</formula>
    </cfRule>
    <cfRule type="cellIs" dxfId="38" priority="31" operator="equal">
      <formula>"C10≠C16 !!"</formula>
    </cfRule>
    <cfRule type="cellIs" dxfId="37" priority="32" operator="equal">
      <formula>"C10≠C16"</formula>
    </cfRule>
  </conditionalFormatting>
  <conditionalFormatting sqref="E17">
    <cfRule type="cellIs" dxfId="36" priority="25" operator="equal">
      <formula>"_"</formula>
    </cfRule>
    <cfRule type="cellIs" dxfId="35" priority="26" operator="equal">
      <formula>""""""</formula>
    </cfRule>
    <cfRule type="cellIs" dxfId="34" priority="27" operator="equal">
      <formula>"C10≠C16 !!"</formula>
    </cfRule>
    <cfRule type="cellIs" dxfId="33" priority="28" operator="equal">
      <formula>"C10≠C16"</formula>
    </cfRule>
  </conditionalFormatting>
  <conditionalFormatting sqref="I15">
    <cfRule type="cellIs" dxfId="32" priority="21" operator="equal">
      <formula>"_"</formula>
    </cfRule>
    <cfRule type="cellIs" dxfId="31" priority="22" operator="equal">
      <formula>""""""</formula>
    </cfRule>
    <cfRule type="cellIs" dxfId="30" priority="23" operator="equal">
      <formula>"C10≠C16 !!"</formula>
    </cfRule>
    <cfRule type="cellIs" dxfId="29" priority="24" operator="equal">
      <formula>"C10≠C16"</formula>
    </cfRule>
  </conditionalFormatting>
  <conditionalFormatting sqref="I16">
    <cfRule type="cellIs" dxfId="28" priority="5" operator="equal">
      <formula>"_"</formula>
    </cfRule>
    <cfRule type="cellIs" dxfId="27" priority="6" operator="equal">
      <formula>""""""</formula>
    </cfRule>
    <cfRule type="cellIs" dxfId="26" priority="7" operator="equal">
      <formula>"C10≠C16 !!"</formula>
    </cfRule>
    <cfRule type="cellIs" dxfId="25" priority="8" operator="equal">
      <formula>"C10≠C16"</formula>
    </cfRule>
  </conditionalFormatting>
  <conditionalFormatting sqref="I17">
    <cfRule type="cellIs" dxfId="24" priority="1" operator="equal">
      <formula>"_"</formula>
    </cfRule>
    <cfRule type="cellIs" dxfId="23" priority="2" operator="equal">
      <formula>""""""</formula>
    </cfRule>
    <cfRule type="cellIs" dxfId="22" priority="3" operator="equal">
      <formula>"C10≠C16 !!"</formula>
    </cfRule>
    <cfRule type="cellIs" dxfId="21" priority="4" operator="equal">
      <formula>"C10≠C16"</formula>
    </cfRule>
  </conditionalFormatting>
  <dataValidations count="2">
    <dataValidation type="list" allowBlank="1" showInputMessage="1" showErrorMessage="1" sqref="E12:E13" xr:uid="{00000000-0002-0000-0000-000000000000}">
      <formula1>$P$10:$P$14</formula1>
    </dataValidation>
    <dataValidation type="list" allowBlank="1" showInputMessage="1" showErrorMessage="1" sqref="E11:G11 K11:L11 J11:J13 I11 H11:H13" xr:uid="{00000000-0002-0000-0000-000001000000}">
      <formula1>$P$11:$P$17</formula1>
    </dataValidation>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0"/>
  <sheetViews>
    <sheetView topLeftCell="B16" workbookViewId="0">
      <selection activeCell="B2" sqref="B2:J32"/>
    </sheetView>
  </sheetViews>
  <sheetFormatPr defaultColWidth="11.42578125" defaultRowHeight="15" outlineLevelCol="1"/>
  <cols>
    <col min="1" max="1" width="5.140625" style="168" customWidth="1"/>
    <col min="2" max="2" width="49.5703125" style="196" customWidth="1"/>
    <col min="3" max="3" width="22.140625" style="196" hidden="1" customWidth="1"/>
    <col min="4" max="4" width="20.5703125" style="179" customWidth="1"/>
    <col min="5" max="5" width="17.5703125" style="179" customWidth="1"/>
    <col min="6" max="6" width="18.42578125" style="179" customWidth="1"/>
    <col min="7" max="7" width="5.28515625" style="174" customWidth="1"/>
    <col min="8" max="8" width="19.42578125" style="180" customWidth="1"/>
    <col min="9" max="9" width="19.42578125" style="181" customWidth="1" outlineLevel="1"/>
    <col min="10" max="10" width="19.42578125" style="179" customWidth="1" outlineLevel="1"/>
    <col min="11" max="11" width="14.42578125" style="179" customWidth="1" outlineLevel="1"/>
    <col min="12" max="12" width="15.5703125" style="207" customWidth="1" outlineLevel="1"/>
    <col min="13" max="13" width="14.42578125" style="179" customWidth="1" outlineLevel="1"/>
    <col min="14" max="14" width="12.42578125" style="182" bestFit="1" customWidth="1"/>
    <col min="15" max="16384" width="11.42578125" style="182"/>
  </cols>
  <sheetData>
    <row r="1" spans="2:13" s="168" customFormat="1" ht="73.5" customHeight="1">
      <c r="B1" s="170"/>
      <c r="C1" s="170"/>
      <c r="D1" s="171"/>
      <c r="E1" s="171"/>
      <c r="F1" s="171"/>
      <c r="G1" s="171"/>
      <c r="H1" s="172"/>
      <c r="I1" s="173"/>
      <c r="J1" s="174"/>
      <c r="K1" s="174"/>
      <c r="L1" s="175"/>
      <c r="M1" s="174"/>
    </row>
    <row r="2" spans="2:13" ht="25.15" customHeight="1">
      <c r="B2" s="687" t="s">
        <v>675</v>
      </c>
      <c r="C2" s="687"/>
      <c r="D2" s="687"/>
      <c r="E2" s="687"/>
      <c r="F2" s="687"/>
      <c r="G2" s="687"/>
      <c r="H2" s="687"/>
      <c r="I2" s="687"/>
      <c r="J2" s="687"/>
    </row>
    <row r="3" spans="2:13" ht="15.75" customHeight="1">
      <c r="B3" s="339"/>
      <c r="C3"/>
      <c r="D3"/>
      <c r="E3"/>
      <c r="F3"/>
      <c r="G3"/>
      <c r="H3"/>
      <c r="I3"/>
      <c r="J3"/>
    </row>
    <row r="4" spans="2:13" ht="20.100000000000001" customHeight="1">
      <c r="B4" s="178"/>
      <c r="C4" s="174"/>
      <c r="F4" s="174"/>
      <c r="H4" s="174"/>
      <c r="I4" s="174"/>
      <c r="J4" s="174"/>
    </row>
    <row r="5" spans="2:13" ht="20.100000000000001" customHeight="1" thickBot="1">
      <c r="B5" s="757"/>
      <c r="C5" s="757"/>
      <c r="D5" s="757"/>
      <c r="E5" s="758"/>
      <c r="F5" s="464"/>
      <c r="G5" s="378"/>
      <c r="H5" s="378"/>
      <c r="I5" s="378"/>
      <c r="J5" s="378"/>
    </row>
    <row r="6" spans="2:13" ht="25.5" customHeight="1" thickBot="1">
      <c r="B6" s="468"/>
      <c r="C6" s="683" t="s">
        <v>539</v>
      </c>
      <c r="D6" s="683"/>
      <c r="E6" s="683"/>
      <c r="F6" s="684"/>
      <c r="G6" s="466"/>
      <c r="H6" s="685" t="s">
        <v>381</v>
      </c>
      <c r="I6" s="683"/>
      <c r="J6" s="686"/>
    </row>
    <row r="7" spans="2:13" ht="20.100000000000001" customHeight="1">
      <c r="B7" s="469"/>
      <c r="C7" s="759">
        <v>2019</v>
      </c>
      <c r="D7" s="665">
        <f>'Portfolio details  '!D4</f>
        <v>2020</v>
      </c>
      <c r="E7" s="668">
        <f>'Portfolio details  '!E4</f>
        <v>2021</v>
      </c>
      <c r="F7" s="671">
        <f>E7+1</f>
        <v>2022</v>
      </c>
      <c r="G7" s="420"/>
      <c r="H7" s="750">
        <v>2023</v>
      </c>
      <c r="I7" s="665">
        <f>H7+1</f>
        <v>2024</v>
      </c>
      <c r="J7" s="752">
        <f>I7+1</f>
        <v>2025</v>
      </c>
    </row>
    <row r="8" spans="2:13" ht="15.75" customHeight="1">
      <c r="B8" s="469"/>
      <c r="C8" s="760"/>
      <c r="D8" s="666"/>
      <c r="E8" s="669"/>
      <c r="F8" s="672"/>
      <c r="G8" s="385"/>
      <c r="H8" s="750"/>
      <c r="I8" s="666"/>
      <c r="J8" s="752"/>
    </row>
    <row r="9" spans="2:13" ht="15.75" customHeight="1" thickBot="1">
      <c r="B9" s="470"/>
      <c r="C9" s="761"/>
      <c r="D9" s="667"/>
      <c r="E9" s="670"/>
      <c r="F9" s="764"/>
      <c r="G9" s="467"/>
      <c r="H9" s="762"/>
      <c r="I9" s="667"/>
      <c r="J9" s="763"/>
    </row>
    <row r="10" spans="2:13" ht="15.75" customHeight="1">
      <c r="B10" s="465" t="s">
        <v>390</v>
      </c>
      <c r="C10" s="465"/>
      <c r="D10" s="465"/>
      <c r="E10" s="465"/>
      <c r="F10" s="465"/>
      <c r="G10" s="386"/>
      <c r="H10" s="465"/>
      <c r="I10" s="465"/>
      <c r="J10" s="465"/>
    </row>
    <row r="11" spans="2:13">
      <c r="B11" s="239" t="s">
        <v>391</v>
      </c>
      <c r="C11" s="241">
        <f>'Income Statement '!C41</f>
        <v>81700</v>
      </c>
      <c r="D11" s="241">
        <f>'Income Statement '!D41</f>
        <v>89870.000000000015</v>
      </c>
      <c r="E11" s="241">
        <f>'Income Statement '!E41</f>
        <v>98857.000000000029</v>
      </c>
      <c r="F11" s="241">
        <f>'Income Statement '!K41</f>
        <v>555142.35777000047</v>
      </c>
      <c r="G11" s="386"/>
      <c r="H11" s="241">
        <f>'Income Statement '!M41</f>
        <v>0</v>
      </c>
      <c r="I11" s="241">
        <f>'Income Statement '!N41</f>
        <v>0</v>
      </c>
      <c r="J11" s="241">
        <f>'Income Statement '!O41</f>
        <v>0</v>
      </c>
    </row>
    <row r="12" spans="2:13" ht="15.75" customHeight="1">
      <c r="B12" s="462" t="s">
        <v>451</v>
      </c>
      <c r="C12" s="186">
        <f>'Income Statement '!C22</f>
        <v>1000</v>
      </c>
      <c r="D12" s="186">
        <f>'Income Statement '!D22</f>
        <v>1100</v>
      </c>
      <c r="E12" s="186">
        <f>'Income Statement '!E22</f>
        <v>1210</v>
      </c>
      <c r="F12" s="186">
        <f>'Income Statement '!F22</f>
        <v>1331</v>
      </c>
      <c r="G12" s="386"/>
      <c r="H12" s="186">
        <f>'Income Statement '!M22</f>
        <v>0</v>
      </c>
      <c r="I12" s="186">
        <f>'Income Statement '!N22</f>
        <v>0</v>
      </c>
      <c r="J12" s="186">
        <f>'Income Statement '!O22</f>
        <v>0</v>
      </c>
    </row>
    <row r="13" spans="2:13" ht="15.75" customHeight="1">
      <c r="B13" s="462" t="s">
        <v>452</v>
      </c>
      <c r="C13" s="186">
        <f>'Income Statement '!C58</f>
        <v>0</v>
      </c>
      <c r="D13" s="186">
        <f>'Income Statement '!D58</f>
        <v>0</v>
      </c>
      <c r="E13" s="186">
        <f>'Income Statement '!E58</f>
        <v>0</v>
      </c>
      <c r="F13" s="186">
        <f>'Income Statement '!F58</f>
        <v>0</v>
      </c>
      <c r="G13" s="386"/>
      <c r="H13" s="186">
        <f>'Income Statement '!M58</f>
        <v>0</v>
      </c>
      <c r="I13" s="186">
        <f>'Income Statement '!N58</f>
        <v>0</v>
      </c>
      <c r="J13" s="186">
        <f>'Income Statement '!O58</f>
        <v>0</v>
      </c>
    </row>
    <row r="14" spans="2:13">
      <c r="B14" s="462" t="s">
        <v>453</v>
      </c>
      <c r="C14" s="186">
        <f>'Income Statement '!C58</f>
        <v>0</v>
      </c>
      <c r="D14" s="186">
        <f>'Income Statement '!D58</f>
        <v>0</v>
      </c>
      <c r="E14" s="186">
        <f>'Income Statement '!E58</f>
        <v>0</v>
      </c>
      <c r="F14" s="186">
        <f>'Income Statement '!F58</f>
        <v>0</v>
      </c>
      <c r="G14" s="386"/>
      <c r="H14" s="186">
        <f>'Income Statement '!M58</f>
        <v>0</v>
      </c>
      <c r="I14" s="186">
        <f>'Income Statement '!N58</f>
        <v>0</v>
      </c>
      <c r="J14" s="186">
        <f>'Income Statement '!O58</f>
        <v>0</v>
      </c>
    </row>
    <row r="15" spans="2:13">
      <c r="B15" s="462" t="s">
        <v>454</v>
      </c>
      <c r="C15" s="186">
        <f>'Portfolio details  '!C22</f>
        <v>50000</v>
      </c>
      <c r="D15" s="186">
        <f>'Portfolio details  '!D22</f>
        <v>75000</v>
      </c>
      <c r="E15" s="186">
        <f>'Portfolio details  '!E22</f>
        <v>112500</v>
      </c>
      <c r="F15" s="186">
        <f>'Portfolio details  '!F22</f>
        <v>168750</v>
      </c>
      <c r="G15" s="386"/>
      <c r="H15" s="186">
        <f>'Portfolio details  '!L22</f>
        <v>797343.75</v>
      </c>
      <c r="I15" s="186">
        <f>'Portfolio details  '!M22</f>
        <v>797343.75</v>
      </c>
      <c r="J15" s="186">
        <f>'Portfolio details  '!N22</f>
        <v>1116281.25</v>
      </c>
    </row>
    <row r="16" spans="2:13">
      <c r="B16" s="462" t="s">
        <v>455</v>
      </c>
      <c r="C16" s="186">
        <f>-'Portfolio details  '!C21</f>
        <v>-1000000</v>
      </c>
      <c r="D16" s="186">
        <f>-'Portfolio details  '!D21</f>
        <v>-1500000</v>
      </c>
      <c r="E16" s="186">
        <f>-'Portfolio details  '!E21</f>
        <v>-2250000</v>
      </c>
      <c r="F16" s="186">
        <f>-'Portfolio details  '!F21</f>
        <v>-3375000</v>
      </c>
      <c r="G16" s="386"/>
      <c r="H16" s="186">
        <f>-'Portfolio details  '!L21</f>
        <v>-15946874.999999998</v>
      </c>
      <c r="I16" s="186">
        <f>-'Portfolio details  '!M21</f>
        <v>-15946874.999999998</v>
      </c>
      <c r="J16" s="186">
        <f>-'Portfolio details  '!N21</f>
        <v>-22325624.999999996</v>
      </c>
    </row>
    <row r="17" spans="2:10">
      <c r="B17" s="462" t="s">
        <v>456</v>
      </c>
      <c r="C17" s="612">
        <v>0</v>
      </c>
      <c r="D17" s="186">
        <v>0</v>
      </c>
      <c r="E17" s="186">
        <v>0</v>
      </c>
      <c r="F17" s="186">
        <v>0</v>
      </c>
      <c r="G17" s="386"/>
      <c r="H17" s="186">
        <v>0</v>
      </c>
      <c r="I17" s="186">
        <v>0</v>
      </c>
      <c r="J17" s="186">
        <v>0</v>
      </c>
    </row>
    <row r="18" spans="2:10">
      <c r="B18" s="462" t="s">
        <v>457</v>
      </c>
      <c r="C18" s="612">
        <v>0</v>
      </c>
      <c r="D18" s="186">
        <f>IF('Balance Sheet '!C36-'Balance Sheet '!B36&gt;=0,('Balance Sheet '!C36-'Balance Sheet '!B36),(('Balance Sheet '!C36-'Balance Sheet '!B36)))</f>
        <v>0</v>
      </c>
      <c r="E18" s="186">
        <f>IF('Balance Sheet '!D36-'Balance Sheet '!C36&gt;=0,('Balance Sheet '!D36-'Balance Sheet '!C36),(('Balance Sheet '!D36-'Balance Sheet '!C36)))</f>
        <v>0</v>
      </c>
      <c r="F18" s="186">
        <f>IF('Balance Sheet '!I36-'Balance Sheet '!D36&gt;=0,('Balance Sheet '!I36-'Balance Sheet '!D36),(('Balance Sheet '!I36-'Balance Sheet '!D36)))</f>
        <v>0</v>
      </c>
      <c r="G18" s="386"/>
      <c r="H18" s="186">
        <f>IF('Balance Sheet '!K36-'Balance Sheet '!I36&gt;=0,('Balance Sheet '!K36-'Balance Sheet '!I36),(('Balance Sheet '!K36-'Balance Sheet '!I36)))</f>
        <v>0</v>
      </c>
      <c r="I18" s="186">
        <f>IF('Balance Sheet '!L36-'Balance Sheet '!K36&gt;=0,('Balance Sheet '!L36-'Balance Sheet '!K36),(('Balance Sheet '!L36-'Balance Sheet '!K36)))</f>
        <v>0</v>
      </c>
      <c r="J18" s="186">
        <f>IF('Balance Sheet '!M36-'Balance Sheet '!L36&gt;=0,('Balance Sheet '!M36-'Balance Sheet '!L36),(('Balance Sheet '!M36-'Balance Sheet '!L36)))</f>
        <v>0</v>
      </c>
    </row>
    <row r="19" spans="2:10" ht="28.5">
      <c r="B19" s="462" t="s">
        <v>458</v>
      </c>
      <c r="C19" s="612">
        <v>0</v>
      </c>
      <c r="D19" s="186">
        <f>IF(('Balance Sheet '!C15-'Balance Sheet '!B15)&gt;=0,(-1*('Balance Sheet '!C15-'Balance Sheet '!B15)),(('Balance Sheet '!C15-'Balance Sheet '!B15)))</f>
        <v>-6300</v>
      </c>
      <c r="E19" s="186">
        <f>IF('Balance Sheet '!D15-'Balance Sheet '!C15&gt;=0,(-1*('Balance Sheet '!D15-'Balance Sheet '!C15)),(-1*('Balance Sheet '!D15-'Balance Sheet '!C15)))</f>
        <v>-496010</v>
      </c>
      <c r="F19" s="186">
        <f>IF('Balance Sheet '!I15-'Balance Sheet '!D15&gt;=0,(-1*('Balance Sheet '!I15-'Balance Sheet '!D15)),(-1*('Balance Sheet '!I15-'Balance Sheet '!D15)))</f>
        <v>-5830123.1710000029</v>
      </c>
      <c r="G19" s="386"/>
      <c r="H19" s="186">
        <f>IF('Balance Sheet '!K15-'Balance Sheet '!I15&gt;=0,(-1*('Balance Sheet '!K15-'Balance Sheet '!I15)),(-1*('Balance Sheet '!K15-'Balance Sheet '!I15)))</f>
        <v>7258433.1710000029</v>
      </c>
      <c r="I19" s="186">
        <f>IF('Balance Sheet '!L15-'Balance Sheet '!K15&gt;=0,(-1*('Balance Sheet '!L15-'Balance Sheet '!K15)),(-1*('Balance Sheet '!L15-'Balance Sheet '!K15)))</f>
        <v>0</v>
      </c>
      <c r="J19" s="186">
        <f>IF('Balance Sheet '!M15-'Balance Sheet '!L15&gt;=0,(-1*('Balance Sheet '!M15-'Balance Sheet '!L15)),(-1*('Balance Sheet '!M15-'Balance Sheet '!L15)))</f>
        <v>0</v>
      </c>
    </row>
    <row r="20" spans="2:10" ht="28.5">
      <c r="B20" s="462" t="s">
        <v>459</v>
      </c>
      <c r="C20" s="612">
        <v>0</v>
      </c>
      <c r="D20" s="186">
        <f>IF(('Balance Sheet '!C26-'Balance Sheet '!B26)&gt;=0,('Balance Sheet '!C26-'Balance Sheet '!B26),(('Balance Sheet '!C26-'Balance Sheet '!B26)))</f>
        <v>2250</v>
      </c>
      <c r="E20" s="186">
        <f>IF(('Balance Sheet '!D26-'Balance Sheet '!C26)&gt;=0,('Balance Sheet '!D26-'Balance Sheet '!C26),(('Balance Sheet '!D26-'Balance Sheet '!C26)))</f>
        <v>2587.5</v>
      </c>
      <c r="F20" s="186">
        <f>IF(('Balance Sheet '!I26-'Balance Sheet '!D26)&gt;=0,('Balance Sheet '!I26-'Balance Sheet '!D26),(('Balance Sheet '!I26-'Balance Sheet '!D26)))</f>
        <v>14858.411484374992</v>
      </c>
      <c r="G20" s="386"/>
      <c r="H20" s="186">
        <f>IF(('Balance Sheet '!K26-'Balance Sheet '!I26)&gt;=0,('Balance Sheet '!K26-'Balance Sheet '!I26),(('Balance Sheet '!K26-'Balance Sheet '!I26)))</f>
        <v>-34695.911484374992</v>
      </c>
      <c r="I20" s="186">
        <f>IF(('Balance Sheet '!L26-'Balance Sheet '!K26)&gt;=0,('Balance Sheet '!L26-'Balance Sheet '!K26),(('Balance Sheet '!L26-'Balance Sheet '!K26)))</f>
        <v>0</v>
      </c>
      <c r="J20" s="186">
        <f>IF(('Balance Sheet '!M26-'Balance Sheet '!L26)&gt;=0,('Balance Sheet '!M26-'Balance Sheet '!L26),(('Balance Sheet '!M26-'Balance Sheet '!L26)))</f>
        <v>0</v>
      </c>
    </row>
    <row r="21" spans="2:10">
      <c r="B21" s="239" t="s">
        <v>392</v>
      </c>
      <c r="C21" s="241">
        <f>SUM(C11:C20)</f>
        <v>-867300</v>
      </c>
      <c r="D21" s="241">
        <f>SUM(D11:D20)</f>
        <v>-1338080</v>
      </c>
      <c r="E21" s="241">
        <f>SUM(E11:E20)</f>
        <v>-2530855.5</v>
      </c>
      <c r="F21" s="241">
        <f>SUM(F11:F20)</f>
        <v>-8465041.4017456267</v>
      </c>
      <c r="G21" s="386"/>
      <c r="H21" s="239">
        <f>SUM(H11:H20)</f>
        <v>-7925793.9904843699</v>
      </c>
      <c r="I21" s="239">
        <f>SUM(I11:I20)</f>
        <v>-15149531.249999998</v>
      </c>
      <c r="J21" s="239">
        <f>SUM(J11:J20)</f>
        <v>-21209343.749999996</v>
      </c>
    </row>
    <row r="22" spans="2:10">
      <c r="B22" s="442"/>
      <c r="C22" s="445"/>
      <c r="D22" s="445"/>
      <c r="E22" s="445"/>
      <c r="F22" s="445"/>
      <c r="G22" s="386"/>
      <c r="H22" s="194"/>
      <c r="I22" s="194"/>
      <c r="J22" s="194"/>
    </row>
    <row r="23" spans="2:10">
      <c r="B23" s="239" t="s">
        <v>393</v>
      </c>
      <c r="C23" s="239"/>
      <c r="D23" s="239"/>
      <c r="E23" s="239"/>
      <c r="F23" s="239"/>
      <c r="G23" s="386"/>
      <c r="H23" s="239"/>
      <c r="I23" s="239"/>
      <c r="J23" s="239"/>
    </row>
    <row r="24" spans="2:10">
      <c r="B24" s="442" t="s">
        <v>394</v>
      </c>
      <c r="C24" s="443"/>
      <c r="D24" s="186">
        <f>IF(('Balance Sheet '!C23-'Balance Sheet '!B23)&gt;=0,('Balance Sheet '!C23-'Balance Sheet '!B23),(('Balance Sheet '!C23-'Balance Sheet '!B23)))</f>
        <v>487500</v>
      </c>
      <c r="E24" s="186">
        <f>IF(('Balance Sheet '!D23-'Balance Sheet '!C23)&gt;=0,('Balance Sheet '!D23-'Balance Sheet '!C23),(('Balance Sheet '!D23-'Balance Sheet '!C23)))</f>
        <v>112500.00000000023</v>
      </c>
      <c r="F24" s="186">
        <f>IF(('Balance Sheet '!I23-'Balance Sheet '!D23)&gt;=0,('Balance Sheet '!I23-'Balance Sheet '!D23),(('Balance Sheet '!I23-'Balance Sheet '!D23)))</f>
        <v>409612.50000000047</v>
      </c>
      <c r="G24" s="386"/>
      <c r="H24" s="186">
        <f>IF(('Balance Sheet '!K23-'Balance Sheet '!I23)&gt;=0,('Balance Sheet '!K23-'Balance Sheet '!I23),(('Balance Sheet '!K23-'Balance Sheet '!I23)))</f>
        <v>-1647112.5000000007</v>
      </c>
      <c r="I24" s="186">
        <f>IF(('Balance Sheet '!L23-'Balance Sheet '!K23)&gt;=0,('Balance Sheet '!L23-'Balance Sheet '!K23),(('Balance Sheet '!L23-'Balance Sheet '!K23)))</f>
        <v>0</v>
      </c>
      <c r="J24" s="186">
        <f>IF(('Balance Sheet '!M23-'Balance Sheet '!L23)&gt;=0,('Balance Sheet '!M23-'Balance Sheet '!L23),(('Balance Sheet '!M23-'Balance Sheet '!L23)))</f>
        <v>0</v>
      </c>
    </row>
    <row r="25" spans="2:10" hidden="1">
      <c r="B25" s="442" t="s">
        <v>395</v>
      </c>
      <c r="C25" s="443"/>
      <c r="D25" s="186">
        <v>0</v>
      </c>
      <c r="E25" s="186">
        <v>0</v>
      </c>
      <c r="F25" s="186">
        <v>0</v>
      </c>
      <c r="G25" s="386"/>
      <c r="H25" s="186"/>
      <c r="I25" s="186"/>
      <c r="J25" s="186"/>
    </row>
    <row r="26" spans="2:10">
      <c r="B26" s="239" t="s">
        <v>396</v>
      </c>
      <c r="C26" s="241">
        <f>C21+C24+C25</f>
        <v>-867300</v>
      </c>
      <c r="D26" s="241">
        <f>D21+D24+D25</f>
        <v>-850580</v>
      </c>
      <c r="E26" s="241">
        <f>E21+E24+E25</f>
        <v>-2418355.5</v>
      </c>
      <c r="F26" s="241">
        <f>F21+F24+F25</f>
        <v>-8055428.9017456267</v>
      </c>
      <c r="G26" s="386"/>
      <c r="H26" s="239">
        <f>H21+H24+H25</f>
        <v>-9572906.4904843699</v>
      </c>
      <c r="I26" s="239">
        <f>I21+I24+I25</f>
        <v>-15149531.249999998</v>
      </c>
      <c r="J26" s="239">
        <f>J21+J24+J25</f>
        <v>-21209343.749999996</v>
      </c>
    </row>
    <row r="27" spans="2:10">
      <c r="B27" s="442"/>
      <c r="C27" s="444"/>
      <c r="D27" s="444"/>
      <c r="E27" s="444"/>
      <c r="F27" s="444"/>
      <c r="G27" s="386"/>
      <c r="H27" s="444"/>
      <c r="I27" s="444"/>
      <c r="J27" s="444"/>
    </row>
    <row r="28" spans="2:10">
      <c r="B28" s="239" t="s">
        <v>397</v>
      </c>
      <c r="C28" s="239"/>
      <c r="D28" s="239"/>
      <c r="E28" s="239"/>
      <c r="F28" s="239"/>
      <c r="G28" s="386"/>
      <c r="H28" s="239"/>
      <c r="I28" s="239"/>
      <c r="J28" s="239"/>
    </row>
    <row r="29" spans="2:10">
      <c r="B29" s="442" t="s">
        <v>398</v>
      </c>
      <c r="C29" s="443"/>
      <c r="D29" s="186">
        <f>IF(('Balance Sheet '!C60-'Balance Sheet '!B60)&gt;=0,('Balance Sheet '!C60-'Balance Sheet '!B60),(('Balance Sheet '!C60-'Balance Sheet '!B60)))</f>
        <v>-132750</v>
      </c>
      <c r="E29" s="186">
        <f>IF(('Balance Sheet '!D60-'Balance Sheet '!C60)&gt;=0,('Balance Sheet '!D60-'Balance Sheet '!C60),(('Balance Sheet '!D60-'Balance Sheet '!C60)))</f>
        <v>0</v>
      </c>
      <c r="F29" s="186">
        <f>IF(('Balance Sheet '!I60-'Balance Sheet '!D60)&gt;=0,('Balance Sheet '!I60-'Balance Sheet '!D60),(('Balance Sheet '!I60-'Balance Sheet '!D60)))</f>
        <v>0</v>
      </c>
      <c r="G29" s="386"/>
      <c r="H29" s="186">
        <f>IF(('Balance Sheet '!K60-'Balance Sheet '!I60)&gt;=0,('Balance Sheet '!K60-'Balance Sheet '!I60),(('Balance Sheet '!K60-'Balance Sheet '!I60)))</f>
        <v>-17250</v>
      </c>
      <c r="I29" s="186">
        <f>IF(('Balance Sheet '!L60-'Balance Sheet '!K60)&gt;=0,('Balance Sheet '!L60-'Balance Sheet '!K60),(('Balance Sheet '!L60-'Balance Sheet '!K60)))</f>
        <v>0</v>
      </c>
      <c r="J29" s="186">
        <f>IF(('Balance Sheet '!M60-'Balance Sheet '!L60)&gt;=0,('Balance Sheet '!M60-'Balance Sheet '!L60),(('Balance Sheet '!M60-'Balance Sheet '!L60)))</f>
        <v>0</v>
      </c>
    </row>
    <row r="30" spans="2:10">
      <c r="B30" s="442" t="s">
        <v>399</v>
      </c>
      <c r="C30" s="443"/>
      <c r="D30" s="186">
        <f>IF(('Balance Sheet '!C41-'Balance Sheet '!B41)&gt;=0,('Balance Sheet '!C41-'Balance Sheet '!B41),(('Balance Sheet '!C41-'Balance Sheet '!B41)))</f>
        <v>616126</v>
      </c>
      <c r="E30" s="186">
        <f>IF(('Balance Sheet '!D41-'Balance Sheet '!C41)&gt;=0,('Balance Sheet '!D41-'Balance Sheet '!C41),(('Balance Sheet '!D41-'Balance Sheet '!C41)))</f>
        <v>596939.5</v>
      </c>
      <c r="F30" s="186">
        <f>IF(('Balance Sheet '!I41-'Balance Sheet '!D41)&gt;=0,('Balance Sheet '!I41-'Balance Sheet '!D41),(('Balance Sheet '!I41-'Balance Sheet '!D41)))</f>
        <v>1001418.7258156268</v>
      </c>
      <c r="G30" s="386"/>
      <c r="H30" s="186">
        <f>IF(('Balance Sheet '!K41-'Balance Sheet '!I41)&gt;=0,('Balance Sheet '!K41-'Balance Sheet '!I41),(('Balance Sheet '!K41-'Balance Sheet '!I41)))</f>
        <v>-3571284.2258156268</v>
      </c>
      <c r="I30" s="186">
        <f>IF(('Balance Sheet '!L41-'Balance Sheet '!K41)&gt;=0,('Balance Sheet '!L41-'Balance Sheet '!K41),(('Balance Sheet '!L41-'Balance Sheet '!K41)))</f>
        <v>0</v>
      </c>
      <c r="J30" s="186">
        <f>IF(('Balance Sheet '!M41-'Balance Sheet '!L41)&gt;=0,('Balance Sheet '!M41-'Balance Sheet '!L41),(('Balance Sheet '!M41-'Balance Sheet '!L41)))</f>
        <v>0</v>
      </c>
    </row>
    <row r="31" spans="2:10">
      <c r="B31" s="442" t="s">
        <v>400</v>
      </c>
      <c r="C31" s="443"/>
      <c r="D31" s="443">
        <v>-3</v>
      </c>
      <c r="E31" s="443">
        <v>-4</v>
      </c>
      <c r="F31" s="443">
        <v>0</v>
      </c>
      <c r="G31" s="386"/>
      <c r="H31" s="443">
        <v>0</v>
      </c>
      <c r="I31" s="443">
        <v>0</v>
      </c>
      <c r="J31" s="443">
        <v>0</v>
      </c>
    </row>
    <row r="32" spans="2:10">
      <c r="B32" s="442" t="s">
        <v>401</v>
      </c>
      <c r="C32" s="443"/>
      <c r="D32" s="443">
        <v>3</v>
      </c>
      <c r="E32" s="443">
        <v>4</v>
      </c>
      <c r="F32" s="443">
        <v>0</v>
      </c>
      <c r="G32" s="386"/>
      <c r="H32" s="443">
        <v>0</v>
      </c>
      <c r="I32" s="443">
        <v>0</v>
      </c>
      <c r="J32" s="443">
        <v>0</v>
      </c>
    </row>
    <row r="33" spans="2:10">
      <c r="B33" s="239" t="s">
        <v>402</v>
      </c>
      <c r="C33" s="241">
        <f>C26+C29+C30+C31+C32</f>
        <v>-867300</v>
      </c>
      <c r="D33" s="241">
        <f>D26+D29+D30+D31+D32</f>
        <v>-367204</v>
      </c>
      <c r="E33" s="241">
        <f>E26+E29+E30+E31+E32</f>
        <v>-1821416</v>
      </c>
      <c r="F33" s="241">
        <f>F26+F29+F30+F31+F32</f>
        <v>-7054010.1759299999</v>
      </c>
      <c r="G33" s="386"/>
      <c r="H33" s="239">
        <f>H26+H29+H30+H31+H32</f>
        <v>-13161440.716299996</v>
      </c>
      <c r="I33" s="239">
        <f>I26+I29+I30+I31+I32</f>
        <v>-15149531.249999998</v>
      </c>
      <c r="J33" s="239">
        <f>J26+J29+J30+J31+J32</f>
        <v>-21209343.749999996</v>
      </c>
    </row>
    <row r="34" spans="2:10">
      <c r="B34" s="442"/>
      <c r="C34" s="444"/>
      <c r="D34" s="444"/>
      <c r="E34" s="444"/>
      <c r="F34" s="444"/>
      <c r="G34" s="386"/>
      <c r="H34" s="444"/>
      <c r="I34" s="444"/>
      <c r="J34" s="444"/>
    </row>
    <row r="35" spans="2:10">
      <c r="B35" s="446" t="s">
        <v>403</v>
      </c>
      <c r="C35" s="446"/>
      <c r="D35" s="446">
        <v>0</v>
      </c>
      <c r="E35" s="446">
        <v>0</v>
      </c>
      <c r="F35" s="446">
        <v>0</v>
      </c>
      <c r="G35" s="386"/>
      <c r="H35" s="446">
        <v>0</v>
      </c>
      <c r="I35" s="446">
        <v>0</v>
      </c>
      <c r="J35" s="446">
        <v>0</v>
      </c>
    </row>
    <row r="36" spans="2:10">
      <c r="B36" s="442"/>
      <c r="C36" s="445"/>
      <c r="D36" s="445"/>
      <c r="E36" s="445"/>
      <c r="F36" s="445"/>
      <c r="G36" s="386"/>
      <c r="H36" s="194"/>
      <c r="I36" s="194"/>
      <c r="J36" s="194"/>
    </row>
    <row r="37" spans="2:10">
      <c r="B37" s="239" t="s">
        <v>404</v>
      </c>
      <c r="C37" s="241">
        <f>C33+C35</f>
        <v>-867300</v>
      </c>
      <c r="D37" s="241">
        <f>D33+D35</f>
        <v>-367204</v>
      </c>
      <c r="E37" s="241">
        <f>E33+E35</f>
        <v>-1821416</v>
      </c>
      <c r="F37" s="241">
        <f>F33+F35</f>
        <v>-7054010.1759299999</v>
      </c>
      <c r="G37" s="386"/>
      <c r="H37" s="239">
        <f>H33+H35</f>
        <v>-13161440.716299996</v>
      </c>
      <c r="I37" s="239">
        <f>I33+I35</f>
        <v>-15149531.249999998</v>
      </c>
      <c r="J37" s="239">
        <f>J33+J35</f>
        <v>-21209343.749999996</v>
      </c>
    </row>
    <row r="38" spans="2:10" ht="30">
      <c r="B38" s="463" t="s">
        <v>460</v>
      </c>
      <c r="C38" s="446"/>
      <c r="D38" s="613">
        <f>'Balance Sheet '!B7+'Balance Sheet '!B8</f>
        <v>5000</v>
      </c>
      <c r="E38" s="613">
        <f>'Balance Sheet '!C7+'Balance Sheet '!C8</f>
        <v>10000</v>
      </c>
      <c r="F38" s="613">
        <f>'Balance Sheet '!D7+'Balance Sheet '!D8</f>
        <v>20000</v>
      </c>
      <c r="G38" s="386"/>
      <c r="H38" s="613">
        <f>'Balance Sheet '!I7+'Balance Sheet '!I8</f>
        <v>40000</v>
      </c>
      <c r="I38" s="613">
        <f>'Balance Sheet '!K7+'Balance Sheet '!K8</f>
        <v>40000</v>
      </c>
      <c r="J38" s="613">
        <f>'Balance Sheet '!L7+'Balance Sheet '!L8</f>
        <v>40000</v>
      </c>
    </row>
    <row r="39" spans="2:10" ht="28.5">
      <c r="B39" s="462" t="s">
        <v>461</v>
      </c>
      <c r="C39" s="446"/>
      <c r="D39" s="446">
        <v>0</v>
      </c>
      <c r="E39" s="446">
        <v>0</v>
      </c>
      <c r="F39" s="446">
        <v>0</v>
      </c>
      <c r="G39" s="386"/>
      <c r="H39" s="446"/>
      <c r="I39" s="446"/>
      <c r="J39" s="446"/>
    </row>
    <row r="40" spans="2:10">
      <c r="B40" s="239" t="s">
        <v>462</v>
      </c>
      <c r="C40" s="241"/>
      <c r="D40" s="241">
        <f>D37+D38</f>
        <v>-362204</v>
      </c>
      <c r="E40" s="241">
        <f t="shared" ref="E40:J40" si="0">E37+E38</f>
        <v>-1811416</v>
      </c>
      <c r="F40" s="241">
        <f t="shared" si="0"/>
        <v>-7034010.1759299999</v>
      </c>
      <c r="G40" s="386"/>
      <c r="H40" s="241">
        <f t="shared" si="0"/>
        <v>-13121440.716299996</v>
      </c>
      <c r="I40" s="241">
        <f t="shared" si="0"/>
        <v>-15109531.249999998</v>
      </c>
      <c r="J40" s="241">
        <f t="shared" si="0"/>
        <v>-21169343.749999996</v>
      </c>
    </row>
  </sheetData>
  <mergeCells count="11">
    <mergeCell ref="B2:J2"/>
    <mergeCell ref="B5:E5"/>
    <mergeCell ref="C6:F6"/>
    <mergeCell ref="H6:J6"/>
    <mergeCell ref="C7:C9"/>
    <mergeCell ref="D7:D9"/>
    <mergeCell ref="H7:H9"/>
    <mergeCell ref="I7:I9"/>
    <mergeCell ref="J7:J9"/>
    <mergeCell ref="E7:E9"/>
    <mergeCell ref="F7:F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N72"/>
  <sheetViews>
    <sheetView topLeftCell="A40" zoomScaleNormal="100" workbookViewId="0">
      <selection activeCell="B1" sqref="B1:J20"/>
    </sheetView>
  </sheetViews>
  <sheetFormatPr defaultColWidth="8.85546875" defaultRowHeight="15"/>
  <cols>
    <col min="1" max="1" width="4.5703125" style="34" customWidth="1"/>
    <col min="2" max="2" width="50.42578125" style="14" customWidth="1"/>
    <col min="3" max="9" width="20.5703125" style="14" customWidth="1"/>
    <col min="10" max="12" width="15.28515625" style="14" customWidth="1"/>
    <col min="13" max="16384" width="8.85546875" style="1"/>
  </cols>
  <sheetData>
    <row r="1" spans="1:14" s="274" customFormat="1" ht="89.25" customHeight="1">
      <c r="B1" s="275"/>
      <c r="C1" s="275"/>
      <c r="D1" s="275"/>
      <c r="E1" s="276"/>
      <c r="F1" s="275"/>
      <c r="G1" s="275"/>
      <c r="H1" s="275"/>
      <c r="I1" s="275"/>
      <c r="J1" s="275"/>
      <c r="K1" s="275"/>
      <c r="L1" s="275"/>
    </row>
    <row r="2" spans="1:14" s="12" customFormat="1" ht="42" customHeight="1">
      <c r="A2" s="274"/>
      <c r="B2" s="775" t="s">
        <v>134</v>
      </c>
      <c r="C2" s="775"/>
      <c r="D2" s="775"/>
      <c r="E2" s="775"/>
      <c r="F2" s="775"/>
      <c r="G2" s="775"/>
      <c r="H2" s="775"/>
      <c r="I2" s="775"/>
      <c r="J2" s="775"/>
      <c r="K2" s="277"/>
      <c r="L2" s="11"/>
      <c r="M2" s="11"/>
      <c r="N2" s="11"/>
    </row>
    <row r="3" spans="1:14">
      <c r="A3" s="274"/>
      <c r="B3" s="50" t="s">
        <v>135</v>
      </c>
      <c r="C3" s="9"/>
    </row>
    <row r="4" spans="1:14">
      <c r="A4" s="274"/>
      <c r="B4" s="38"/>
    </row>
    <row r="5" spans="1:14">
      <c r="A5" s="8"/>
      <c r="B5" s="61" t="s">
        <v>136</v>
      </c>
      <c r="C5" s="264" t="str">
        <f>'Parameters '!C3</f>
        <v xml:space="preserve">Microfinance </v>
      </c>
      <c r="E5" s="278"/>
    </row>
    <row r="6" spans="1:14" ht="9" customHeight="1">
      <c r="A6" s="8"/>
      <c r="C6" s="1"/>
      <c r="D6" s="1"/>
      <c r="E6" s="1"/>
      <c r="F6" s="1"/>
      <c r="G6" s="1"/>
      <c r="H6" s="1"/>
      <c r="I6" s="1"/>
      <c r="J6" s="1"/>
    </row>
    <row r="7" spans="1:14">
      <c r="A7" s="279"/>
      <c r="B7" s="249" t="s">
        <v>137</v>
      </c>
      <c r="C7" s="250" t="s">
        <v>138</v>
      </c>
      <c r="D7" s="280"/>
      <c r="E7" s="280"/>
      <c r="F7" s="280"/>
      <c r="G7" s="280"/>
      <c r="H7" s="280"/>
      <c r="I7" s="280"/>
      <c r="J7" s="280"/>
    </row>
    <row r="8" spans="1:14" s="18" customFormat="1" ht="45">
      <c r="A8" s="279"/>
      <c r="B8" s="66" t="s">
        <v>139</v>
      </c>
      <c r="C8" s="66" t="s">
        <v>140</v>
      </c>
      <c r="D8" s="290" t="s">
        <v>141</v>
      </c>
      <c r="E8" s="66" t="s">
        <v>142</v>
      </c>
      <c r="F8" s="66" t="s">
        <v>143</v>
      </c>
      <c r="G8" s="784" t="s">
        <v>144</v>
      </c>
      <c r="H8" s="785"/>
      <c r="I8" s="785"/>
      <c r="J8" s="786"/>
    </row>
    <row r="9" spans="1:14">
      <c r="B9" s="298"/>
      <c r="C9" s="281"/>
      <c r="D9" s="282"/>
      <c r="E9" s="281"/>
      <c r="F9" s="58"/>
      <c r="G9" s="776"/>
      <c r="H9" s="777"/>
      <c r="I9" s="777"/>
      <c r="J9" s="778"/>
      <c r="K9" s="1"/>
      <c r="L9" s="1"/>
    </row>
    <row r="10" spans="1:14">
      <c r="B10" s="298"/>
      <c r="C10" s="281"/>
      <c r="D10" s="282"/>
      <c r="E10" s="281"/>
      <c r="F10" s="58"/>
      <c r="G10" s="776"/>
      <c r="H10" s="777"/>
      <c r="I10" s="777"/>
      <c r="J10" s="778"/>
      <c r="K10" s="1"/>
      <c r="L10" s="1"/>
    </row>
    <row r="11" spans="1:14">
      <c r="B11" s="298"/>
      <c r="C11" s="281"/>
      <c r="D11" s="282"/>
      <c r="E11" s="281"/>
      <c r="F11" s="58"/>
      <c r="G11" s="776"/>
      <c r="H11" s="777"/>
      <c r="I11" s="777"/>
      <c r="J11" s="778"/>
      <c r="K11" s="1"/>
      <c r="L11" s="1"/>
    </row>
    <row r="12" spans="1:14">
      <c r="B12" s="298"/>
      <c r="C12" s="281"/>
      <c r="D12" s="282"/>
      <c r="E12" s="281"/>
      <c r="F12" s="58"/>
      <c r="G12" s="776"/>
      <c r="H12" s="777"/>
      <c r="I12" s="777"/>
      <c r="J12" s="778"/>
      <c r="K12" s="1"/>
      <c r="L12" s="1"/>
    </row>
    <row r="13" spans="1:14">
      <c r="B13" s="298"/>
      <c r="C13" s="281"/>
      <c r="D13" s="282"/>
      <c r="E13" s="281"/>
      <c r="F13" s="58"/>
      <c r="G13" s="776"/>
      <c r="H13" s="777"/>
      <c r="I13" s="777"/>
      <c r="J13" s="778"/>
      <c r="K13" s="1"/>
      <c r="L13" s="1"/>
    </row>
    <row r="14" spans="1:14">
      <c r="B14" s="298"/>
      <c r="C14" s="281"/>
      <c r="D14" s="282"/>
      <c r="E14" s="281"/>
      <c r="F14" s="58"/>
      <c r="G14" s="776"/>
      <c r="H14" s="777"/>
      <c r="I14" s="777"/>
      <c r="J14" s="778"/>
      <c r="K14" s="1"/>
      <c r="L14" s="1"/>
    </row>
    <row r="15" spans="1:14">
      <c r="B15" s="298"/>
      <c r="C15" s="281"/>
      <c r="D15" s="282"/>
      <c r="E15" s="281"/>
      <c r="F15" s="58"/>
      <c r="G15" s="776"/>
      <c r="H15" s="777"/>
      <c r="I15" s="777"/>
      <c r="J15" s="778"/>
      <c r="K15" s="1"/>
      <c r="L15" s="1"/>
    </row>
    <row r="16" spans="1:14" s="18" customFormat="1">
      <c r="A16" s="279"/>
      <c r="B16" s="296" t="s">
        <v>145</v>
      </c>
      <c r="C16" s="295">
        <v>0</v>
      </c>
      <c r="D16" s="297">
        <v>1</v>
      </c>
      <c r="E16" s="295">
        <v>0</v>
      </c>
      <c r="F16" s="38"/>
      <c r="G16" s="38"/>
      <c r="H16" s="38"/>
      <c r="I16" s="38"/>
      <c r="J16" s="38"/>
      <c r="K16" s="38"/>
      <c r="L16" s="38"/>
    </row>
    <row r="18" spans="1:12" ht="18.75">
      <c r="A18" s="283" t="s">
        <v>124</v>
      </c>
      <c r="B18" s="249" t="s">
        <v>146</v>
      </c>
      <c r="C18" s="250" t="s">
        <v>147</v>
      </c>
      <c r="D18" s="251"/>
      <c r="E18" s="251"/>
      <c r="F18" s="251"/>
    </row>
    <row r="19" spans="1:12" ht="30">
      <c r="B19" s="292" t="s">
        <v>148</v>
      </c>
      <c r="C19" s="66" t="s">
        <v>149</v>
      </c>
      <c r="D19" s="66" t="s">
        <v>133</v>
      </c>
      <c r="E19" s="66"/>
      <c r="F19" s="66" t="s">
        <v>150</v>
      </c>
    </row>
    <row r="20" spans="1:12">
      <c r="B20" s="298"/>
      <c r="C20" s="284"/>
      <c r="D20" s="58"/>
      <c r="E20" s="285"/>
      <c r="F20" s="58"/>
    </row>
    <row r="21" spans="1:12">
      <c r="B21" s="298"/>
      <c r="C21" s="284"/>
      <c r="D21" s="58"/>
      <c r="E21" s="285"/>
      <c r="F21" s="58"/>
    </row>
    <row r="22" spans="1:12">
      <c r="B22" s="298"/>
      <c r="C22" s="284"/>
      <c r="D22" s="58"/>
      <c r="E22" s="285"/>
      <c r="F22" s="58"/>
    </row>
    <row r="23" spans="1:12">
      <c r="B23" s="298"/>
      <c r="C23" s="284"/>
      <c r="D23" s="58"/>
      <c r="E23" s="285"/>
      <c r="F23" s="58"/>
    </row>
    <row r="24" spans="1:12">
      <c r="B24" s="298"/>
      <c r="C24" s="284"/>
      <c r="D24" s="58"/>
      <c r="E24" s="285"/>
      <c r="F24" s="58"/>
    </row>
    <row r="25" spans="1:12">
      <c r="B25" s="298"/>
      <c r="C25" s="284"/>
      <c r="D25" s="58"/>
      <c r="E25" s="285"/>
      <c r="F25" s="58"/>
    </row>
    <row r="26" spans="1:12">
      <c r="B26" s="298"/>
      <c r="C26" s="281"/>
      <c r="D26" s="58"/>
      <c r="E26" s="294"/>
      <c r="F26" s="58"/>
    </row>
    <row r="27" spans="1:12" s="18" customFormat="1">
      <c r="A27" s="279"/>
      <c r="B27" s="296" t="s">
        <v>145</v>
      </c>
      <c r="C27" s="295">
        <v>0</v>
      </c>
      <c r="D27" s="38"/>
      <c r="E27" s="38"/>
      <c r="F27" s="38"/>
      <c r="G27" s="38"/>
      <c r="H27" s="38"/>
      <c r="I27" s="38"/>
      <c r="J27" s="38"/>
      <c r="K27" s="38"/>
      <c r="L27" s="38"/>
    </row>
    <row r="29" spans="1:12">
      <c r="B29" s="249" t="s">
        <v>151</v>
      </c>
      <c r="C29" s="250" t="s">
        <v>147</v>
      </c>
      <c r="D29" s="251"/>
      <c r="E29" s="251"/>
      <c r="F29" s="251"/>
      <c r="G29" s="251"/>
      <c r="H29" s="251"/>
      <c r="I29" s="251"/>
      <c r="J29" s="251"/>
      <c r="L29" s="1"/>
    </row>
    <row r="30" spans="1:12" ht="105">
      <c r="B30" s="66" t="s">
        <v>152</v>
      </c>
      <c r="C30" s="66" t="s">
        <v>153</v>
      </c>
      <c r="D30" s="66" t="s">
        <v>154</v>
      </c>
      <c r="E30" s="66" t="s">
        <v>155</v>
      </c>
      <c r="F30" s="66" t="s">
        <v>156</v>
      </c>
      <c r="G30" s="66" t="s">
        <v>157</v>
      </c>
      <c r="H30" s="66" t="s">
        <v>158</v>
      </c>
      <c r="I30" s="66" t="s">
        <v>159</v>
      </c>
      <c r="J30" s="293" t="s">
        <v>160</v>
      </c>
    </row>
    <row r="31" spans="1:12">
      <c r="B31" s="298"/>
      <c r="C31" s="281"/>
      <c r="D31" s="58"/>
      <c r="E31" s="286"/>
      <c r="F31" s="286"/>
      <c r="G31" s="287"/>
      <c r="H31" s="287"/>
      <c r="I31" s="281"/>
      <c r="J31" s="58"/>
    </row>
    <row r="32" spans="1:12">
      <c r="B32" s="298"/>
      <c r="C32" s="281"/>
      <c r="D32" s="58"/>
      <c r="E32" s="286"/>
      <c r="F32" s="286"/>
      <c r="G32" s="287"/>
      <c r="H32" s="287"/>
      <c r="I32" s="281"/>
      <c r="J32" s="58"/>
    </row>
    <row r="33" spans="1:12">
      <c r="B33" s="298"/>
      <c r="C33" s="281"/>
      <c r="D33" s="58"/>
      <c r="E33" s="286"/>
      <c r="F33" s="286"/>
      <c r="G33" s="287"/>
      <c r="H33" s="287"/>
      <c r="I33" s="281"/>
      <c r="J33" s="58"/>
    </row>
    <row r="34" spans="1:12">
      <c r="B34" s="298"/>
      <c r="C34" s="281"/>
      <c r="D34" s="58"/>
      <c r="E34" s="286"/>
      <c r="F34" s="286"/>
      <c r="G34" s="287"/>
      <c r="H34" s="287"/>
      <c r="I34" s="281"/>
      <c r="J34" s="58"/>
    </row>
    <row r="35" spans="1:12">
      <c r="B35" s="779" t="s">
        <v>145</v>
      </c>
      <c r="C35" s="779"/>
      <c r="D35" s="779"/>
      <c r="E35" s="779"/>
      <c r="F35" s="779"/>
      <c r="G35" s="779"/>
      <c r="H35" s="779"/>
      <c r="I35" s="214">
        <v>0</v>
      </c>
      <c r="J35" s="291"/>
    </row>
    <row r="36" spans="1:12" ht="15.75" thickBot="1">
      <c r="B36" s="288"/>
      <c r="C36" s="288"/>
    </row>
    <row r="37" spans="1:12" ht="29.25" customHeight="1">
      <c r="A37" s="279"/>
      <c r="B37" s="766"/>
      <c r="C37" s="771"/>
      <c r="D37" s="772"/>
      <c r="E37" s="780" t="s">
        <v>539</v>
      </c>
      <c r="F37" s="780"/>
      <c r="G37" s="780"/>
      <c r="H37" s="781"/>
      <c r="I37" s="483"/>
      <c r="J37" s="782" t="s">
        <v>381</v>
      </c>
      <c r="K37" s="780"/>
      <c r="L37" s="783"/>
    </row>
    <row r="38" spans="1:12" ht="29.25" customHeight="1">
      <c r="A38" s="279"/>
      <c r="B38" s="767"/>
      <c r="C38" s="769" t="s">
        <v>416</v>
      </c>
      <c r="D38" s="773" t="s">
        <v>410</v>
      </c>
      <c r="E38" s="789">
        <f>'Parameters '!C5</f>
        <v>2019</v>
      </c>
      <c r="F38" s="789">
        <f>E38+1</f>
        <v>2020</v>
      </c>
      <c r="G38" s="789">
        <f>F38+1</f>
        <v>2021</v>
      </c>
      <c r="H38" s="789">
        <f>G38+1</f>
        <v>2022</v>
      </c>
      <c r="I38" s="477"/>
      <c r="J38" s="715">
        <f>H38+1</f>
        <v>2023</v>
      </c>
      <c r="K38" s="715">
        <f>J38+1</f>
        <v>2024</v>
      </c>
      <c r="L38" s="787">
        <f>K38+1</f>
        <v>2025</v>
      </c>
    </row>
    <row r="39" spans="1:12">
      <c r="A39" s="279"/>
      <c r="B39" s="767"/>
      <c r="C39" s="769"/>
      <c r="D39" s="773"/>
      <c r="E39" s="789"/>
      <c r="F39" s="789"/>
      <c r="G39" s="789"/>
      <c r="H39" s="789"/>
      <c r="I39" s="478"/>
      <c r="J39" s="715"/>
      <c r="K39" s="715"/>
      <c r="L39" s="787"/>
    </row>
    <row r="40" spans="1:12" ht="15.75" thickBot="1">
      <c r="A40" s="279"/>
      <c r="B40" s="768"/>
      <c r="C40" s="770"/>
      <c r="D40" s="774"/>
      <c r="E40" s="790"/>
      <c r="F40" s="790"/>
      <c r="G40" s="790"/>
      <c r="H40" s="790"/>
      <c r="I40" s="484"/>
      <c r="J40" s="791"/>
      <c r="K40" s="791"/>
      <c r="L40" s="788"/>
    </row>
    <row r="41" spans="1:12" ht="42">
      <c r="A41" s="279"/>
      <c r="B41" s="485" t="s">
        <v>463</v>
      </c>
      <c r="C41" s="480"/>
      <c r="D41" s="480"/>
      <c r="E41" s="480"/>
      <c r="F41" s="480"/>
      <c r="G41" s="480"/>
      <c r="H41" s="480"/>
      <c r="I41" s="481"/>
      <c r="J41" s="482"/>
      <c r="K41" s="482"/>
      <c r="L41" s="482"/>
    </row>
    <row r="42" spans="1:12">
      <c r="B42" s="298" t="s">
        <v>411</v>
      </c>
      <c r="C42" s="451">
        <v>7.0000000000000007E-2</v>
      </c>
      <c r="D42" s="452">
        <v>10000</v>
      </c>
      <c r="E42" s="453">
        <v>10000</v>
      </c>
      <c r="F42" s="453">
        <v>10000</v>
      </c>
      <c r="G42" s="453">
        <v>10000</v>
      </c>
      <c r="H42" s="453">
        <v>10000</v>
      </c>
      <c r="I42" s="449"/>
      <c r="J42" s="58">
        <v>10000</v>
      </c>
      <c r="K42" s="58">
        <v>10000</v>
      </c>
      <c r="L42" s="58">
        <v>10000</v>
      </c>
    </row>
    <row r="43" spans="1:12">
      <c r="B43" s="298" t="s">
        <v>412</v>
      </c>
      <c r="C43" s="451">
        <v>0.08</v>
      </c>
      <c r="D43" s="452">
        <v>1000000</v>
      </c>
      <c r="E43" s="453"/>
      <c r="F43" s="453">
        <v>100000</v>
      </c>
      <c r="G43" s="453"/>
      <c r="H43" s="453"/>
      <c r="I43" s="449"/>
      <c r="J43" s="58"/>
      <c r="K43" s="58"/>
      <c r="L43" s="58"/>
    </row>
    <row r="44" spans="1:12">
      <c r="B44" s="298" t="s">
        <v>413</v>
      </c>
      <c r="C44" s="451">
        <v>0.09</v>
      </c>
      <c r="D44" s="452"/>
      <c r="E44" s="453"/>
      <c r="F44" s="453"/>
      <c r="G44" s="453"/>
      <c r="H44" s="453"/>
      <c r="I44" s="449"/>
      <c r="J44" s="58"/>
      <c r="K44" s="58"/>
      <c r="L44" s="58"/>
    </row>
    <row r="45" spans="1:12">
      <c r="B45" s="298" t="s">
        <v>414</v>
      </c>
      <c r="C45" s="451">
        <v>0.06</v>
      </c>
      <c r="D45" s="452"/>
      <c r="E45" s="453"/>
      <c r="F45" s="453"/>
      <c r="G45" s="453"/>
      <c r="H45" s="453"/>
      <c r="I45" s="449"/>
      <c r="J45" s="58"/>
      <c r="K45" s="58"/>
      <c r="L45" s="58"/>
    </row>
    <row r="46" spans="1:12">
      <c r="B46" s="298" t="s">
        <v>415</v>
      </c>
      <c r="C46" s="451"/>
      <c r="D46" s="452"/>
      <c r="E46" s="453"/>
      <c r="F46" s="453"/>
      <c r="G46" s="453"/>
      <c r="H46" s="453"/>
      <c r="I46" s="449"/>
      <c r="J46" s="58"/>
      <c r="K46" s="58"/>
      <c r="L46" s="58"/>
    </row>
    <row r="47" spans="1:12">
      <c r="B47" s="298"/>
      <c r="C47" s="451"/>
      <c r="D47" s="452"/>
      <c r="E47" s="453"/>
      <c r="F47" s="453"/>
      <c r="G47" s="453"/>
      <c r="H47" s="453"/>
      <c r="I47" s="449"/>
      <c r="J47" s="58"/>
      <c r="K47" s="58"/>
      <c r="L47" s="58"/>
    </row>
    <row r="48" spans="1:12">
      <c r="B48" s="298"/>
      <c r="C48" s="451"/>
      <c r="D48" s="452"/>
      <c r="E48" s="453"/>
      <c r="F48" s="453"/>
      <c r="G48" s="453"/>
      <c r="H48" s="453"/>
      <c r="I48" s="449"/>
      <c r="J48" s="58"/>
      <c r="K48" s="58"/>
      <c r="L48" s="58"/>
    </row>
    <row r="49" spans="1:13" s="18" customFormat="1">
      <c r="A49" s="279"/>
      <c r="B49" s="479"/>
      <c r="C49" s="479"/>
      <c r="D49" s="479"/>
      <c r="E49" s="475">
        <f>SUM(E42:E48)</f>
        <v>10000</v>
      </c>
      <c r="F49" s="475">
        <f>SUM(F42:F48)</f>
        <v>110000</v>
      </c>
      <c r="G49" s="475">
        <f>SUM(G42:G48)</f>
        <v>10000</v>
      </c>
      <c r="H49" s="475">
        <f>SUM(H42:H48)</f>
        <v>10000</v>
      </c>
      <c r="I49" s="450"/>
      <c r="J49" s="475">
        <f>SUM(J42:J48)</f>
        <v>10000</v>
      </c>
      <c r="K49" s="475">
        <f>SUM(K42:K48)</f>
        <v>10000</v>
      </c>
      <c r="L49" s="475">
        <f>SUM(L42:L48)</f>
        <v>10000</v>
      </c>
    </row>
    <row r="50" spans="1:13">
      <c r="J50" s="289"/>
      <c r="K50" s="1"/>
      <c r="M50" s="14"/>
    </row>
    <row r="51" spans="1:13" ht="21">
      <c r="A51" s="279"/>
      <c r="B51" s="474" t="s">
        <v>417</v>
      </c>
      <c r="C51" s="66"/>
      <c r="D51" s="66"/>
      <c r="E51" s="66"/>
      <c r="F51" s="66"/>
      <c r="G51" s="66"/>
      <c r="H51" s="66"/>
      <c r="I51" s="448"/>
      <c r="J51" s="293"/>
      <c r="K51" s="293"/>
      <c r="L51" s="293"/>
    </row>
    <row r="52" spans="1:13">
      <c r="B52" s="298" t="str">
        <f t="shared" ref="B52:B58" si="0">B42</f>
        <v>Lender 1</v>
      </c>
      <c r="C52" s="765"/>
      <c r="D52" s="765"/>
      <c r="E52" s="453">
        <v>1200</v>
      </c>
      <c r="F52" s="453">
        <v>12000</v>
      </c>
      <c r="G52" s="453">
        <v>1000</v>
      </c>
      <c r="H52" s="453">
        <v>10000</v>
      </c>
      <c r="I52" s="449"/>
      <c r="J52" s="58">
        <v>10000</v>
      </c>
      <c r="K52" s="58">
        <v>10000</v>
      </c>
      <c r="L52" s="58">
        <v>10000</v>
      </c>
    </row>
    <row r="53" spans="1:13">
      <c r="B53" s="298" t="str">
        <f t="shared" si="0"/>
        <v>Lender 2</v>
      </c>
      <c r="C53" s="765"/>
      <c r="D53" s="765"/>
      <c r="E53" s="453"/>
      <c r="F53" s="453"/>
      <c r="G53" s="453">
        <v>50000</v>
      </c>
      <c r="H53" s="453"/>
      <c r="I53" s="449"/>
      <c r="J53" s="58"/>
      <c r="K53" s="58"/>
      <c r="L53" s="58"/>
    </row>
    <row r="54" spans="1:13">
      <c r="B54" s="298" t="str">
        <f t="shared" si="0"/>
        <v>Lender 3</v>
      </c>
      <c r="C54" s="765"/>
      <c r="D54" s="765"/>
      <c r="E54" s="453"/>
      <c r="F54" s="453"/>
      <c r="G54" s="453"/>
      <c r="H54" s="453"/>
      <c r="I54" s="449"/>
      <c r="J54" s="58"/>
      <c r="K54" s="58"/>
      <c r="L54" s="58"/>
    </row>
    <row r="55" spans="1:13">
      <c r="B55" s="298" t="str">
        <f t="shared" si="0"/>
        <v>Lender 4</v>
      </c>
      <c r="C55" s="765"/>
      <c r="D55" s="765"/>
      <c r="E55" s="453"/>
      <c r="F55" s="453"/>
      <c r="G55" s="453"/>
      <c r="H55" s="453"/>
      <c r="I55" s="449"/>
      <c r="J55" s="58"/>
      <c r="K55" s="58"/>
      <c r="L55" s="58"/>
    </row>
    <row r="56" spans="1:13">
      <c r="B56" s="298" t="str">
        <f t="shared" si="0"/>
        <v>Lender 5</v>
      </c>
      <c r="C56" s="765"/>
      <c r="D56" s="765"/>
      <c r="E56" s="453"/>
      <c r="F56" s="453"/>
      <c r="G56" s="453"/>
      <c r="H56" s="453"/>
      <c r="I56" s="449"/>
      <c r="J56" s="58"/>
      <c r="K56" s="58"/>
      <c r="L56" s="58"/>
    </row>
    <row r="57" spans="1:13">
      <c r="B57" s="298">
        <f t="shared" si="0"/>
        <v>0</v>
      </c>
      <c r="C57" s="765"/>
      <c r="D57" s="765"/>
      <c r="E57" s="453"/>
      <c r="F57" s="453"/>
      <c r="G57" s="453"/>
      <c r="H57" s="453"/>
      <c r="I57" s="449"/>
      <c r="J57" s="58"/>
      <c r="K57" s="58"/>
      <c r="L57" s="58"/>
    </row>
    <row r="58" spans="1:13">
      <c r="B58" s="298">
        <f t="shared" si="0"/>
        <v>0</v>
      </c>
      <c r="C58" s="765"/>
      <c r="D58" s="765"/>
      <c r="E58" s="453"/>
      <c r="F58" s="453"/>
      <c r="G58" s="453"/>
      <c r="H58" s="453"/>
      <c r="I58" s="449"/>
      <c r="J58" s="58"/>
      <c r="K58" s="58"/>
      <c r="L58" s="58"/>
    </row>
    <row r="59" spans="1:13">
      <c r="B59" s="475"/>
      <c r="C59" s="475"/>
      <c r="D59" s="475"/>
      <c r="E59" s="475">
        <f>SUM(E52:E58)</f>
        <v>1200</v>
      </c>
      <c r="F59" s="475">
        <f>SUM(F52:F58)</f>
        <v>12000</v>
      </c>
      <c r="G59" s="475">
        <f>SUM(G52:G58)</f>
        <v>51000</v>
      </c>
      <c r="H59" s="475">
        <f>SUM(H52:H58)</f>
        <v>10000</v>
      </c>
      <c r="I59" s="450"/>
      <c r="J59" s="475">
        <f>SUM(J52:J58)</f>
        <v>10000</v>
      </c>
      <c r="K59" s="475">
        <f>SUM(K52:K58)</f>
        <v>10000</v>
      </c>
      <c r="L59" s="475">
        <f>SUM(L52:L58)</f>
        <v>10000</v>
      </c>
      <c r="M59" s="109"/>
    </row>
    <row r="61" spans="1:13" ht="42">
      <c r="B61" s="474" t="s">
        <v>676</v>
      </c>
      <c r="C61" s="66"/>
      <c r="D61" s="66"/>
      <c r="E61" s="66"/>
      <c r="F61" s="66"/>
      <c r="G61" s="66"/>
      <c r="H61" s="66"/>
      <c r="I61" s="448"/>
      <c r="J61" s="293"/>
      <c r="K61" s="293"/>
      <c r="L61" s="293"/>
    </row>
    <row r="62" spans="1:13">
      <c r="B62" s="298" t="str">
        <f t="shared" ref="B62:B68" si="1">B52</f>
        <v>Lender 1</v>
      </c>
      <c r="C62" s="765"/>
      <c r="D62" s="765"/>
      <c r="E62" s="453">
        <f t="shared" ref="E62:E68" si="2">D42+E42-E52</f>
        <v>18800</v>
      </c>
      <c r="F62" s="453">
        <f t="shared" ref="F62:H68" si="3">E62+F42-F52</f>
        <v>16800</v>
      </c>
      <c r="G62" s="453">
        <f t="shared" si="3"/>
        <v>25800</v>
      </c>
      <c r="H62" s="453">
        <f t="shared" si="3"/>
        <v>25800</v>
      </c>
      <c r="I62" s="449"/>
      <c r="J62" s="454">
        <f t="shared" ref="J62:J68" si="4">H62+J42-J52</f>
        <v>25800</v>
      </c>
      <c r="K62" s="454">
        <f t="shared" ref="K62:L68" si="5">J62+K42-K52</f>
        <v>25800</v>
      </c>
      <c r="L62" s="454">
        <f t="shared" si="5"/>
        <v>25800</v>
      </c>
    </row>
    <row r="63" spans="1:13">
      <c r="B63" s="298" t="str">
        <f t="shared" si="1"/>
        <v>Lender 2</v>
      </c>
      <c r="C63" s="765"/>
      <c r="D63" s="765"/>
      <c r="E63" s="453">
        <f t="shared" si="2"/>
        <v>1000000</v>
      </c>
      <c r="F63" s="453">
        <f t="shared" si="3"/>
        <v>1100000</v>
      </c>
      <c r="G63" s="453">
        <f t="shared" si="3"/>
        <v>1050000</v>
      </c>
      <c r="H63" s="453">
        <f t="shared" si="3"/>
        <v>1050000</v>
      </c>
      <c r="I63" s="449"/>
      <c r="J63" s="454">
        <f t="shared" si="4"/>
        <v>1050000</v>
      </c>
      <c r="K63" s="454">
        <f t="shared" si="5"/>
        <v>1050000</v>
      </c>
      <c r="L63" s="454">
        <f t="shared" si="5"/>
        <v>1050000</v>
      </c>
    </row>
    <row r="64" spans="1:13">
      <c r="B64" s="298" t="str">
        <f t="shared" si="1"/>
        <v>Lender 3</v>
      </c>
      <c r="C64" s="765"/>
      <c r="D64" s="765"/>
      <c r="E64" s="453">
        <f t="shared" si="2"/>
        <v>0</v>
      </c>
      <c r="F64" s="453">
        <f t="shared" si="3"/>
        <v>0</v>
      </c>
      <c r="G64" s="453">
        <f t="shared" si="3"/>
        <v>0</v>
      </c>
      <c r="H64" s="453">
        <f t="shared" si="3"/>
        <v>0</v>
      </c>
      <c r="I64" s="449"/>
      <c r="J64" s="454">
        <f t="shared" si="4"/>
        <v>0</v>
      </c>
      <c r="K64" s="454">
        <f t="shared" si="5"/>
        <v>0</v>
      </c>
      <c r="L64" s="454">
        <f t="shared" si="5"/>
        <v>0</v>
      </c>
    </row>
    <row r="65" spans="2:12">
      <c r="B65" s="298" t="str">
        <f t="shared" si="1"/>
        <v>Lender 4</v>
      </c>
      <c r="C65" s="765"/>
      <c r="D65" s="765"/>
      <c r="E65" s="453">
        <f t="shared" si="2"/>
        <v>0</v>
      </c>
      <c r="F65" s="453">
        <f t="shared" si="3"/>
        <v>0</v>
      </c>
      <c r="G65" s="453">
        <f t="shared" si="3"/>
        <v>0</v>
      </c>
      <c r="H65" s="453">
        <f t="shared" si="3"/>
        <v>0</v>
      </c>
      <c r="I65" s="449"/>
      <c r="J65" s="454">
        <f t="shared" si="4"/>
        <v>0</v>
      </c>
      <c r="K65" s="454">
        <f t="shared" si="5"/>
        <v>0</v>
      </c>
      <c r="L65" s="454">
        <f t="shared" si="5"/>
        <v>0</v>
      </c>
    </row>
    <row r="66" spans="2:12">
      <c r="B66" s="298" t="str">
        <f t="shared" si="1"/>
        <v>Lender 5</v>
      </c>
      <c r="C66" s="765"/>
      <c r="D66" s="765"/>
      <c r="E66" s="453">
        <f t="shared" si="2"/>
        <v>0</v>
      </c>
      <c r="F66" s="453">
        <f t="shared" si="3"/>
        <v>0</v>
      </c>
      <c r="G66" s="453">
        <f t="shared" si="3"/>
        <v>0</v>
      </c>
      <c r="H66" s="453">
        <f t="shared" si="3"/>
        <v>0</v>
      </c>
      <c r="I66" s="449"/>
      <c r="J66" s="454">
        <f t="shared" si="4"/>
        <v>0</v>
      </c>
      <c r="K66" s="454">
        <f t="shared" si="5"/>
        <v>0</v>
      </c>
      <c r="L66" s="454">
        <f t="shared" si="5"/>
        <v>0</v>
      </c>
    </row>
    <row r="67" spans="2:12">
      <c r="B67" s="455">
        <f t="shared" si="1"/>
        <v>0</v>
      </c>
      <c r="C67" s="765"/>
      <c r="D67" s="765"/>
      <c r="E67" s="453">
        <f t="shared" si="2"/>
        <v>0</v>
      </c>
      <c r="F67" s="453">
        <f t="shared" si="3"/>
        <v>0</v>
      </c>
      <c r="G67" s="453">
        <f t="shared" si="3"/>
        <v>0</v>
      </c>
      <c r="H67" s="453">
        <f t="shared" si="3"/>
        <v>0</v>
      </c>
      <c r="I67" s="449"/>
      <c r="J67" s="454">
        <f t="shared" si="4"/>
        <v>0</v>
      </c>
      <c r="K67" s="454">
        <f t="shared" si="5"/>
        <v>0</v>
      </c>
      <c r="L67" s="454">
        <f t="shared" si="5"/>
        <v>0</v>
      </c>
    </row>
    <row r="68" spans="2:12">
      <c r="B68" s="298">
        <f t="shared" si="1"/>
        <v>0</v>
      </c>
      <c r="C68" s="765"/>
      <c r="D68" s="765"/>
      <c r="E68" s="453">
        <f t="shared" si="2"/>
        <v>0</v>
      </c>
      <c r="F68" s="453">
        <f t="shared" si="3"/>
        <v>0</v>
      </c>
      <c r="G68" s="453">
        <f t="shared" si="3"/>
        <v>0</v>
      </c>
      <c r="H68" s="453">
        <f t="shared" si="3"/>
        <v>0</v>
      </c>
      <c r="I68" s="449"/>
      <c r="J68" s="454">
        <f t="shared" si="4"/>
        <v>0</v>
      </c>
      <c r="K68" s="454">
        <f t="shared" si="5"/>
        <v>0</v>
      </c>
      <c r="L68" s="454">
        <f t="shared" si="5"/>
        <v>0</v>
      </c>
    </row>
    <row r="69" spans="2:12">
      <c r="B69" s="475"/>
      <c r="C69" s="475"/>
      <c r="D69" s="475"/>
      <c r="E69" s="475">
        <f>SUM(E62:E68)</f>
        <v>1018800</v>
      </c>
      <c r="F69" s="475">
        <f>SUM(F62:F68)</f>
        <v>1116800</v>
      </c>
      <c r="G69" s="475">
        <f>SUM(G62:G68)</f>
        <v>1075800</v>
      </c>
      <c r="H69" s="475">
        <f>SUM(H62:H68)</f>
        <v>1075800</v>
      </c>
      <c r="I69" s="450"/>
      <c r="J69" s="475">
        <f>SUM(J62:J68)</f>
        <v>1075800</v>
      </c>
      <c r="K69" s="475">
        <f>SUM(K62:K68)</f>
        <v>1075800</v>
      </c>
      <c r="L69" s="475">
        <f>SUM(L62:L68)</f>
        <v>1075800</v>
      </c>
    </row>
    <row r="71" spans="2:12" ht="21">
      <c r="B71" s="474" t="s">
        <v>418</v>
      </c>
      <c r="C71" s="765"/>
      <c r="D71" s="765"/>
      <c r="E71" s="475">
        <f>E69</f>
        <v>1018800</v>
      </c>
      <c r="F71" s="475">
        <f>F69</f>
        <v>1116800</v>
      </c>
      <c r="G71" s="475">
        <f>G69</f>
        <v>1075800</v>
      </c>
      <c r="H71" s="475">
        <f>H69</f>
        <v>1075800</v>
      </c>
      <c r="I71" s="450"/>
      <c r="J71" s="475">
        <f>J69</f>
        <v>1075800</v>
      </c>
      <c r="K71" s="475">
        <f>K69</f>
        <v>1075800</v>
      </c>
      <c r="L71" s="475">
        <f>L69</f>
        <v>1075800</v>
      </c>
    </row>
    <row r="72" spans="2:12" ht="21">
      <c r="B72" s="474" t="s">
        <v>419</v>
      </c>
      <c r="C72" s="765"/>
      <c r="D72" s="765"/>
      <c r="E72" s="476">
        <f>(D42*$C$42+D43*$C$43+D44*$C$44+D45*$C$45+D46*$C$46*D47*$C$47*D48*$C$48)/E71</f>
        <v>7.9210836277974081E-2</v>
      </c>
      <c r="F72" s="476">
        <f>(E62*$C$42+E63*$C$43+E64*$C$44+E65*$C$45+E66*$C$46*E67*$C$47*E68*$C$48)/F71</f>
        <v>7.281160458452722E-2</v>
      </c>
      <c r="G72" s="476">
        <f>(F62*$C$42+F63*$C$43+F64*$C$44+F65*$C$45+F66*$C$46*F67*$C$47*F68*$C$48)/G71</f>
        <v>8.2892730990890506E-2</v>
      </c>
      <c r="H72" s="476">
        <f>(G62*$C$42+G63*$C$43+G64*$C$44+G65*$C$45+G66*$C$46*G67*$C$47*G68*$C$48)/H71</f>
        <v>7.9760178471834919E-2</v>
      </c>
      <c r="I72" s="450"/>
      <c r="J72" s="476">
        <f>(J62*$C$42+J63*$C$43+J64*$C$44+J65*$C$45+J66*$C$46*J67*$C$47*J68*$C$48)/J71</f>
        <v>7.9760178471834919E-2</v>
      </c>
      <c r="K72" s="476">
        <f>(K62*$C$42+K63*$C$43+K64*$C$44+K65*$C$45+K66*$C$46*K67*$C$47*K68*$C$48)/K71</f>
        <v>7.9760178471834919E-2</v>
      </c>
      <c r="L72" s="476">
        <f>(L62*$C$42+L63*$C$43+L64*$C$44+L65*$C$45+L66*$C$46*L67*$C$47*L68*$C$48)/L71</f>
        <v>7.9760178471834919E-2</v>
      </c>
    </row>
  </sheetData>
  <mergeCells count="26">
    <mergeCell ref="L38:L40"/>
    <mergeCell ref="H38:H40"/>
    <mergeCell ref="J38:J40"/>
    <mergeCell ref="C52:D58"/>
    <mergeCell ref="C62:D68"/>
    <mergeCell ref="E38:E40"/>
    <mergeCell ref="F38:F40"/>
    <mergeCell ref="G38:G40"/>
    <mergeCell ref="K38:K40"/>
    <mergeCell ref="B2:J2"/>
    <mergeCell ref="G14:J14"/>
    <mergeCell ref="G15:J15"/>
    <mergeCell ref="B35:H35"/>
    <mergeCell ref="E37:H37"/>
    <mergeCell ref="J37:L37"/>
    <mergeCell ref="G13:J13"/>
    <mergeCell ref="G8:J8"/>
    <mergeCell ref="G9:J9"/>
    <mergeCell ref="G10:J10"/>
    <mergeCell ref="G11:J11"/>
    <mergeCell ref="G12:J12"/>
    <mergeCell ref="C71:D72"/>
    <mergeCell ref="B37:B40"/>
    <mergeCell ref="C38:C40"/>
    <mergeCell ref="C37:D37"/>
    <mergeCell ref="D38:D40"/>
  </mergeCells>
  <pageMargins left="0.7" right="0.7" top="0.75" bottom="0.75" header="0.3" footer="0.3"/>
  <pageSetup orientation="portrait" r:id="rId1"/>
  <ignoredErrors>
    <ignoredError sqref="B67"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N80"/>
  <sheetViews>
    <sheetView topLeftCell="M1" zoomScaleNormal="100" workbookViewId="0">
      <selection activeCell="B2" sqref="B2:J23"/>
    </sheetView>
  </sheetViews>
  <sheetFormatPr defaultColWidth="11.42578125" defaultRowHeight="15"/>
  <cols>
    <col min="1" max="1" width="3.85546875" style="3" customWidth="1"/>
    <col min="2" max="2" width="51.140625" style="2" customWidth="1"/>
    <col min="3" max="10" width="14" style="2" customWidth="1"/>
    <col min="11" max="11" width="3.85546875" style="2" customWidth="1"/>
    <col min="12" max="14" width="13.28515625" style="2" customWidth="1"/>
    <col min="15" max="15" width="11.42578125" style="2"/>
    <col min="16" max="30" width="11.42578125" style="2" customWidth="1"/>
    <col min="31" max="16384" width="11.42578125" style="2"/>
  </cols>
  <sheetData>
    <row r="1" spans="1:40" ht="65.25" customHeight="1" thickBot="1"/>
    <row r="2" spans="1:40" ht="30.75" customHeight="1" thickBot="1">
      <c r="A2" s="304"/>
      <c r="B2" s="184"/>
      <c r="C2" s="682" t="s">
        <v>539</v>
      </c>
      <c r="D2" s="683"/>
      <c r="E2" s="683"/>
      <c r="F2" s="683"/>
      <c r="G2" s="683"/>
      <c r="H2" s="683"/>
      <c r="I2" s="683"/>
      <c r="J2" s="683"/>
      <c r="K2" s="421"/>
      <c r="L2" s="683" t="s">
        <v>381</v>
      </c>
      <c r="M2" s="683"/>
      <c r="N2" s="686"/>
    </row>
    <row r="3" spans="1:40" ht="30.75" customHeight="1">
      <c r="A3" s="304"/>
      <c r="B3" s="754"/>
      <c r="C3" s="662">
        <f>'Parameters '!C5</f>
        <v>2019</v>
      </c>
      <c r="D3" s="662">
        <f>'Parameters '!D5</f>
        <v>2020</v>
      </c>
      <c r="E3" s="662">
        <f>'Parameters '!E5</f>
        <v>2021</v>
      </c>
      <c r="F3" s="660" t="str">
        <f>'Parameters '!F6</f>
        <v>Q1/2022</v>
      </c>
      <c r="G3" s="660" t="str">
        <f>'Parameters '!G6</f>
        <v>Q2/2022</v>
      </c>
      <c r="H3" s="660" t="str">
        <f>'Parameters '!H6</f>
        <v>Q3/2022</v>
      </c>
      <c r="I3" s="660" t="str">
        <f>'Parameters '!I6</f>
        <v>Q4/2022</v>
      </c>
      <c r="J3" s="671">
        <f>E3+1</f>
        <v>2022</v>
      </c>
      <c r="K3" s="420"/>
      <c r="L3" s="750">
        <v>2023</v>
      </c>
      <c r="M3" s="665">
        <f>L3+1</f>
        <v>2024</v>
      </c>
      <c r="N3" s="752">
        <f>M3+1</f>
        <v>2025</v>
      </c>
    </row>
    <row r="4" spans="1:40" ht="30.75" customHeight="1">
      <c r="A4" s="304"/>
      <c r="B4" s="755"/>
      <c r="C4" s="663"/>
      <c r="D4" s="663"/>
      <c r="E4" s="663"/>
      <c r="F4" s="661"/>
      <c r="G4" s="661"/>
      <c r="H4" s="661"/>
      <c r="I4" s="661"/>
      <c r="J4" s="672"/>
      <c r="K4" s="385"/>
      <c r="L4" s="750"/>
      <c r="M4" s="666"/>
      <c r="N4" s="752"/>
    </row>
    <row r="5" spans="1:40" s="3" customFormat="1" ht="30.75" customHeight="1" thickBot="1">
      <c r="A5" s="304"/>
      <c r="B5" s="756"/>
      <c r="C5" s="664"/>
      <c r="D5" s="664"/>
      <c r="E5" s="664"/>
      <c r="F5" s="112"/>
      <c r="G5" s="112"/>
      <c r="H5" s="112"/>
      <c r="I5" s="112"/>
      <c r="J5" s="673"/>
      <c r="K5" s="386"/>
      <c r="L5" s="751"/>
      <c r="M5" s="667"/>
      <c r="N5" s="753"/>
      <c r="Q5" s="2"/>
      <c r="R5" s="2"/>
      <c r="S5" s="2"/>
      <c r="T5" s="2"/>
      <c r="U5" s="2"/>
      <c r="V5" s="2"/>
      <c r="W5" s="2"/>
      <c r="X5" s="2"/>
      <c r="Y5" s="2"/>
      <c r="Z5" s="2"/>
      <c r="AA5" s="2"/>
      <c r="AB5" s="2"/>
      <c r="AC5" s="2"/>
      <c r="AD5" s="2"/>
      <c r="AE5" s="2"/>
      <c r="AF5" s="2"/>
      <c r="AG5" s="2"/>
      <c r="AH5" s="2"/>
      <c r="AI5" s="2"/>
      <c r="AJ5" s="2"/>
      <c r="AK5" s="2"/>
      <c r="AL5" s="2"/>
      <c r="AM5" s="2"/>
      <c r="AN5" s="2"/>
    </row>
    <row r="6" spans="1:40" ht="15.75">
      <c r="A6" s="305"/>
      <c r="B6" s="460" t="s">
        <v>335</v>
      </c>
      <c r="C6" s="124"/>
      <c r="D6" s="125"/>
      <c r="E6" s="126"/>
      <c r="F6" s="126"/>
      <c r="G6" s="126"/>
      <c r="H6" s="127"/>
      <c r="I6" s="126"/>
      <c r="J6" s="405">
        <f t="shared" ref="J6:J13" si="0">SUM(F6:I6)</f>
        <v>0</v>
      </c>
      <c r="K6" s="361"/>
      <c r="L6" s="128"/>
      <c r="M6" s="128"/>
      <c r="N6" s="146"/>
      <c r="Q6"/>
      <c r="R6"/>
      <c r="S6"/>
      <c r="T6"/>
      <c r="U6"/>
      <c r="V6"/>
      <c r="W6"/>
      <c r="X6"/>
      <c r="Y6"/>
      <c r="Z6"/>
      <c r="AA6"/>
      <c r="AB6"/>
      <c r="AC6"/>
      <c r="AD6"/>
      <c r="AE6"/>
      <c r="AF6"/>
      <c r="AG6"/>
      <c r="AH6"/>
      <c r="AI6"/>
      <c r="AJ6"/>
      <c r="AK6"/>
      <c r="AL6"/>
      <c r="AM6"/>
      <c r="AN6"/>
    </row>
    <row r="7" spans="1:40" ht="15.75">
      <c r="A7" s="305"/>
      <c r="B7" s="459" t="s">
        <v>336</v>
      </c>
      <c r="C7" s="537">
        <f>('Income Statement '!C8+'Income Statement '!C10)/'Income Statement '!C13</f>
        <v>0.98058252427184467</v>
      </c>
      <c r="D7" s="125"/>
      <c r="E7" s="126"/>
      <c r="F7" s="126"/>
      <c r="G7" s="126"/>
      <c r="H7" s="127"/>
      <c r="I7" s="126"/>
      <c r="J7" s="405">
        <f t="shared" si="0"/>
        <v>0</v>
      </c>
      <c r="K7" s="361"/>
      <c r="L7" s="128"/>
      <c r="M7" s="128"/>
      <c r="N7" s="146"/>
      <c r="Q7"/>
      <c r="R7" s="569" t="s">
        <v>725</v>
      </c>
      <c r="S7"/>
      <c r="T7"/>
      <c r="U7"/>
      <c r="V7"/>
      <c r="W7"/>
      <c r="X7"/>
      <c r="Y7"/>
      <c r="Z7"/>
      <c r="AA7"/>
      <c r="AB7"/>
      <c r="AC7"/>
      <c r="AD7"/>
      <c r="AE7"/>
      <c r="AF7"/>
      <c r="AG7"/>
      <c r="AH7"/>
      <c r="AI7"/>
      <c r="AJ7"/>
      <c r="AK7"/>
      <c r="AL7"/>
      <c r="AM7"/>
      <c r="AN7"/>
    </row>
    <row r="8" spans="1:40" ht="15.75">
      <c r="A8" s="305"/>
      <c r="B8" s="459" t="s">
        <v>677</v>
      </c>
      <c r="C8" s="537">
        <f>'Income Statement '!C11/'Income Statement '!C13</f>
        <v>4.8543689320388345E-3</v>
      </c>
      <c r="D8" s="537">
        <f>'Income Statement '!D11/'Income Statement '!D13</f>
        <v>4.8543689320388345E-3</v>
      </c>
      <c r="E8" s="537">
        <f>'Income Statement '!E11/'Income Statement '!E13</f>
        <v>4.8543689320388337E-3</v>
      </c>
      <c r="F8" s="539">
        <f>'Income Statement '!G11/'Income Statement '!G13</f>
        <v>4.8543689320388337E-3</v>
      </c>
      <c r="G8" s="539">
        <f>'Income Statement '!H11/'Income Statement '!H13</f>
        <v>4.8543689320388319E-3</v>
      </c>
      <c r="H8" s="539">
        <f>'Income Statement '!I11/'Income Statement '!I13</f>
        <v>4.8543689320388337E-3</v>
      </c>
      <c r="I8" s="539">
        <f>'Income Statement '!J11/'Income Statement '!J13</f>
        <v>4.8543689320388319E-3</v>
      </c>
      <c r="J8" s="540">
        <f>'Income Statement '!K11/'Income Statement '!K13</f>
        <v>4.8543689320388337E-3</v>
      </c>
      <c r="K8" s="361"/>
      <c r="L8" s="539" t="e">
        <f>'Income Statement '!M11/'Income Statement '!M13</f>
        <v>#DIV/0!</v>
      </c>
      <c r="M8" s="539" t="e">
        <f>'Income Statement '!N11/'Income Statement '!N13</f>
        <v>#DIV/0!</v>
      </c>
      <c r="N8" s="539" t="e">
        <f>'Income Statement '!O11/'Income Statement '!O13</f>
        <v>#DIV/0!</v>
      </c>
      <c r="Q8"/>
      <c r="R8"/>
      <c r="S8"/>
      <c r="T8"/>
      <c r="U8"/>
      <c r="V8"/>
      <c r="W8"/>
      <c r="X8"/>
      <c r="Y8"/>
      <c r="Z8"/>
      <c r="AA8"/>
      <c r="AB8"/>
      <c r="AC8"/>
      <c r="AD8"/>
      <c r="AE8"/>
      <c r="AF8"/>
      <c r="AG8"/>
      <c r="AH8"/>
      <c r="AI8"/>
      <c r="AJ8"/>
      <c r="AK8"/>
      <c r="AL8"/>
      <c r="AM8"/>
      <c r="AN8"/>
    </row>
    <row r="9" spans="1:40" ht="15.75">
      <c r="A9" s="305"/>
      <c r="B9" s="459" t="s">
        <v>337</v>
      </c>
      <c r="C9" s="537">
        <f>'Income Statement '!C9/'Income Statement '!C13</f>
        <v>9.7087378640776691E-3</v>
      </c>
      <c r="D9" s="537">
        <f>'Income Statement '!D9/'Income Statement '!D13</f>
        <v>9.7087378640776691E-3</v>
      </c>
      <c r="E9" s="537">
        <f>'Income Statement '!E9/'Income Statement '!E13</f>
        <v>9.7087378640776673E-3</v>
      </c>
      <c r="F9" s="539">
        <f>'Income Statement '!G9/'Income Statement '!G13</f>
        <v>9.7087378640776673E-3</v>
      </c>
      <c r="G9" s="539">
        <f>'Income Statement '!H9/'Income Statement '!H13</f>
        <v>9.7087378640776639E-3</v>
      </c>
      <c r="H9" s="539">
        <f>'Income Statement '!I9/'Income Statement '!I13</f>
        <v>9.7087378640776673E-3</v>
      </c>
      <c r="I9" s="539">
        <f>'Income Statement '!J9/'Income Statement '!J13</f>
        <v>9.7087378640776639E-3</v>
      </c>
      <c r="J9" s="540">
        <f>'Income Statement '!K9/'Income Statement '!K13</f>
        <v>9.7087378640776673E-3</v>
      </c>
      <c r="K9" s="361"/>
      <c r="L9" s="539" t="e">
        <f>'Income Statement '!M12/'Income Statement '!M14</f>
        <v>#DIV/0!</v>
      </c>
      <c r="M9" s="539" t="e">
        <f>'Income Statement '!N12/'Income Statement '!N14</f>
        <v>#DIV/0!</v>
      </c>
      <c r="N9" s="539" t="e">
        <f>'Income Statement '!O12/'Income Statement '!O14</f>
        <v>#DIV/0!</v>
      </c>
      <c r="Q9"/>
      <c r="R9"/>
      <c r="S9"/>
      <c r="T9"/>
      <c r="U9"/>
      <c r="V9"/>
      <c r="W9"/>
      <c r="X9"/>
      <c r="Y9"/>
      <c r="Z9"/>
      <c r="AA9"/>
      <c r="AB9"/>
      <c r="AC9"/>
      <c r="AD9"/>
      <c r="AE9"/>
      <c r="AF9"/>
      <c r="AG9"/>
      <c r="AH9"/>
      <c r="AI9"/>
      <c r="AJ9"/>
      <c r="AK9"/>
      <c r="AL9"/>
      <c r="AM9"/>
      <c r="AN9"/>
    </row>
    <row r="10" spans="1:40" ht="15.75">
      <c r="A10" s="305"/>
      <c r="B10" s="459" t="s">
        <v>338</v>
      </c>
      <c r="C10" s="537">
        <f>'Income Statement '!C12/'Income Statement '!C13</f>
        <v>4.8543689320388345E-3</v>
      </c>
      <c r="D10" s="537">
        <f>'Income Statement '!D12/'Income Statement '!D13</f>
        <v>4.8543689320388345E-3</v>
      </c>
      <c r="E10" s="537">
        <f>'Income Statement '!E12/'Income Statement '!E13</f>
        <v>4.8543689320388337E-3</v>
      </c>
      <c r="F10" s="539">
        <f>'Income Statement '!G12/'Income Statement '!G13</f>
        <v>4.8543689320388337E-3</v>
      </c>
      <c r="G10" s="539">
        <f>'Income Statement '!H12/'Income Statement '!H13</f>
        <v>4.8543689320388319E-3</v>
      </c>
      <c r="H10" s="539">
        <f>'Income Statement '!I12/'Income Statement '!I13</f>
        <v>4.8543689320388337E-3</v>
      </c>
      <c r="I10" s="539">
        <f>'Income Statement '!J12/'Income Statement '!J13</f>
        <v>4.8543689320388319E-3</v>
      </c>
      <c r="J10" s="540">
        <f>'Income Statement '!K12/'Income Statement '!K13</f>
        <v>4.8543689320388337E-3</v>
      </c>
      <c r="K10" s="361"/>
      <c r="L10" s="539" t="e">
        <f>'Income Statement '!M13/'Income Statement '!M15</f>
        <v>#DIV/0!</v>
      </c>
      <c r="M10" s="539" t="e">
        <f>'Income Statement '!N13/'Income Statement '!N15</f>
        <v>#DIV/0!</v>
      </c>
      <c r="N10" s="539" t="e">
        <f>'Income Statement '!O13/'Income Statement '!O15</f>
        <v>#DIV/0!</v>
      </c>
      <c r="Q10"/>
      <c r="R10"/>
      <c r="S10"/>
      <c r="T10"/>
      <c r="U10"/>
      <c r="V10"/>
      <c r="W10"/>
      <c r="X10"/>
      <c r="Y10"/>
      <c r="Z10"/>
      <c r="AA10"/>
      <c r="AB10"/>
      <c r="AC10"/>
      <c r="AD10"/>
      <c r="AE10"/>
      <c r="AF10"/>
      <c r="AG10"/>
      <c r="AH10"/>
      <c r="AI10"/>
      <c r="AJ10"/>
      <c r="AK10"/>
      <c r="AL10"/>
      <c r="AM10"/>
      <c r="AN10"/>
    </row>
    <row r="11" spans="1:40" ht="15.75">
      <c r="A11" s="305"/>
      <c r="B11" s="459" t="s">
        <v>339</v>
      </c>
      <c r="C11" s="537">
        <f>'Income Statement '!C23/'Income Statement '!C13</f>
        <v>0</v>
      </c>
      <c r="D11" s="537">
        <f>'Income Statement '!D23/'Income Statement '!D13</f>
        <v>0</v>
      </c>
      <c r="E11" s="537">
        <f>'Income Statement '!E23/'Income Statement '!E13</f>
        <v>0</v>
      </c>
      <c r="F11" s="539">
        <f>'Income Statement '!G23/'Income Statement '!G13</f>
        <v>0</v>
      </c>
      <c r="G11" s="539">
        <f>'Income Statement '!H23/'Income Statement '!H13</f>
        <v>0</v>
      </c>
      <c r="H11" s="539">
        <f>'Income Statement '!I23/'Income Statement '!I13</f>
        <v>0</v>
      </c>
      <c r="I11" s="539">
        <f>'Income Statement '!J23/'Income Statement '!J13</f>
        <v>0</v>
      </c>
      <c r="J11" s="540">
        <f>'Income Statement '!K23/'Income Statement '!K13</f>
        <v>0</v>
      </c>
      <c r="K11" s="361"/>
      <c r="L11" s="539" t="e">
        <f>'Income Statement '!M14/'Income Statement '!M16</f>
        <v>#DIV/0!</v>
      </c>
      <c r="M11" s="539" t="e">
        <f>'Income Statement '!N14/'Income Statement '!N16</f>
        <v>#DIV/0!</v>
      </c>
      <c r="N11" s="539" t="e">
        <f>'Income Statement '!O14/'Income Statement '!O16</f>
        <v>#DIV/0!</v>
      </c>
      <c r="Q11"/>
      <c r="R11"/>
      <c r="S11"/>
      <c r="T11"/>
      <c r="U11"/>
      <c r="V11"/>
      <c r="W11"/>
      <c r="X11"/>
      <c r="Y11"/>
      <c r="Z11"/>
      <c r="AA11"/>
      <c r="AB11"/>
      <c r="AC11"/>
      <c r="AD11"/>
      <c r="AE11"/>
      <c r="AF11"/>
      <c r="AG11"/>
      <c r="AH11"/>
      <c r="AI11"/>
      <c r="AJ11"/>
      <c r="AK11"/>
      <c r="AL11"/>
      <c r="AM11"/>
      <c r="AN11"/>
    </row>
    <row r="12" spans="1:40" ht="15.75">
      <c r="A12" s="305"/>
      <c r="B12" s="459" t="s">
        <v>340</v>
      </c>
      <c r="C12" s="537">
        <f>'Income Statement '!C12/'Income Statement '!C13</f>
        <v>4.8543689320388345E-3</v>
      </c>
      <c r="D12" s="537">
        <f>'Income Statement '!D12/'Income Statement '!D13</f>
        <v>4.8543689320388345E-3</v>
      </c>
      <c r="E12" s="537">
        <f>'Income Statement '!E12/'Income Statement '!E13</f>
        <v>4.8543689320388337E-3</v>
      </c>
      <c r="F12" s="539">
        <f>'Income Statement '!G12/'Income Statement '!G13</f>
        <v>4.8543689320388337E-3</v>
      </c>
      <c r="G12" s="539">
        <f>'Income Statement '!H12/'Income Statement '!H13</f>
        <v>4.8543689320388319E-3</v>
      </c>
      <c r="H12" s="539">
        <f>'Income Statement '!I12/'Income Statement '!I13</f>
        <v>4.8543689320388337E-3</v>
      </c>
      <c r="I12" s="539">
        <f>'Income Statement '!J12/'Income Statement '!J13</f>
        <v>4.8543689320388319E-3</v>
      </c>
      <c r="J12" s="540">
        <f>'Income Statement '!K12/'Income Statement '!K13</f>
        <v>4.8543689320388337E-3</v>
      </c>
      <c r="K12" s="361"/>
      <c r="L12" s="539" t="e">
        <f>'Income Statement '!M15/'Income Statement '!M17</f>
        <v>#DIV/0!</v>
      </c>
      <c r="M12" s="539" t="e">
        <f>'Income Statement '!N15/'Income Statement '!N17</f>
        <v>#DIV/0!</v>
      </c>
      <c r="N12" s="539" t="e">
        <f>'Income Statement '!O15/'Income Statement '!O17</f>
        <v>#DIV/0!</v>
      </c>
      <c r="Q12"/>
      <c r="R12"/>
      <c r="S12"/>
      <c r="T12"/>
      <c r="U12"/>
      <c r="V12"/>
      <c r="W12"/>
      <c r="X12"/>
      <c r="Y12"/>
      <c r="Z12"/>
      <c r="AA12"/>
      <c r="AB12"/>
      <c r="AC12"/>
      <c r="AD12"/>
      <c r="AE12"/>
      <c r="AF12"/>
      <c r="AG12"/>
      <c r="AH12"/>
      <c r="AI12"/>
      <c r="AJ12"/>
      <c r="AK12"/>
      <c r="AL12"/>
      <c r="AM12"/>
      <c r="AN12"/>
    </row>
    <row r="13" spans="1:40" ht="15.75">
      <c r="A13" s="305"/>
      <c r="B13" s="459" t="s">
        <v>341</v>
      </c>
      <c r="C13" s="537">
        <v>0</v>
      </c>
      <c r="D13" s="537">
        <v>0</v>
      </c>
      <c r="E13" s="537">
        <v>0</v>
      </c>
      <c r="F13" s="539">
        <v>0</v>
      </c>
      <c r="G13" s="539">
        <v>0</v>
      </c>
      <c r="H13" s="539">
        <v>0</v>
      </c>
      <c r="I13" s="539">
        <v>0</v>
      </c>
      <c r="J13" s="405">
        <f t="shared" si="0"/>
        <v>0</v>
      </c>
      <c r="K13" s="361"/>
      <c r="L13" s="539" t="e">
        <f>'Income Statement '!M16/'Income Statement '!M18</f>
        <v>#DIV/0!</v>
      </c>
      <c r="M13" s="539" t="e">
        <f>'Income Statement '!N16/'Income Statement '!N18</f>
        <v>#DIV/0!</v>
      </c>
      <c r="N13" s="539" t="e">
        <f>'Income Statement '!O16/'Income Statement '!O18</f>
        <v>#DIV/0!</v>
      </c>
      <c r="Q13"/>
      <c r="R13"/>
      <c r="S13"/>
      <c r="T13"/>
      <c r="U13"/>
      <c r="V13"/>
      <c r="W13"/>
      <c r="X13"/>
      <c r="Y13"/>
      <c r="Z13"/>
      <c r="AA13"/>
      <c r="AB13"/>
      <c r="AC13"/>
      <c r="AD13"/>
      <c r="AE13"/>
      <c r="AF13"/>
      <c r="AG13"/>
      <c r="AH13"/>
      <c r="AI13"/>
      <c r="AJ13"/>
      <c r="AK13"/>
      <c r="AL13"/>
      <c r="AM13"/>
      <c r="AN13"/>
    </row>
    <row r="14" spans="1:40" ht="15.75">
      <c r="A14" s="306"/>
      <c r="B14" s="460" t="s">
        <v>436</v>
      </c>
      <c r="C14" s="124"/>
      <c r="D14" s="125"/>
      <c r="E14" s="126"/>
      <c r="F14" s="126"/>
      <c r="G14" s="126"/>
      <c r="H14" s="127"/>
      <c r="I14" s="126"/>
      <c r="J14" s="405">
        <f t="shared" ref="J14:J50" si="1">SUM(F14:I14)</f>
        <v>0</v>
      </c>
      <c r="K14" s="361"/>
      <c r="L14" s="128"/>
      <c r="M14" s="128"/>
      <c r="N14" s="146"/>
      <c r="P14"/>
    </row>
    <row r="15" spans="1:40" ht="15.75">
      <c r="A15" s="306"/>
      <c r="B15" s="459" t="s">
        <v>523</v>
      </c>
      <c r="C15" s="622"/>
      <c r="D15" s="623">
        <f>'Income Statement '!D40/'Ratios '!D61</f>
        <v>1.3197146562905318E-2</v>
      </c>
      <c r="E15" s="623">
        <f>'Income Statement '!E40/'Ratios '!E61</f>
        <v>1.1185252888232832E-2</v>
      </c>
      <c r="F15" s="623">
        <f>'Income Statement '!F40/'Ratios '!F61</f>
        <v>1.0397520911110557E-2</v>
      </c>
      <c r="G15" s="623">
        <f>'Income Statement '!G40/'Ratios '!G61</f>
        <v>1.0404676957515294E-2</v>
      </c>
      <c r="H15" s="623">
        <f>'Income Statement '!H40/'Ratios '!H61</f>
        <v>1.04299606133747E-2</v>
      </c>
      <c r="I15" s="623">
        <f>'Income Statement '!I40/'Ratios '!I61</f>
        <v>1.0695891873210364E-2</v>
      </c>
      <c r="J15" s="540">
        <f>I15</f>
        <v>1.0695891873210364E-2</v>
      </c>
      <c r="K15" s="361"/>
      <c r="L15" s="539" t="e">
        <f>'Income Statement '!M18/'Income Statement '!M20</f>
        <v>#DIV/0!</v>
      </c>
      <c r="M15" s="539" t="e">
        <f>'Income Statement '!N18/'Income Statement '!N20</f>
        <v>#DIV/0!</v>
      </c>
      <c r="N15" s="539" t="e">
        <f>'Income Statement '!O18/'Income Statement '!O20</f>
        <v>#DIV/0!</v>
      </c>
      <c r="P15"/>
    </row>
    <row r="16" spans="1:40" ht="15.75">
      <c r="A16" s="306"/>
      <c r="B16" s="459" t="s">
        <v>520</v>
      </c>
      <c r="C16" s="124">
        <f>'Portfolio details  '!C8/Staffing!C42</f>
        <v>66.666666666666671</v>
      </c>
      <c r="D16" s="124">
        <f>'Balance Sheet '!C9/Staffing!D42</f>
        <v>50010</v>
      </c>
      <c r="E16" s="124">
        <f>'Balance Sheet '!D9/Staffing!E42</f>
        <v>60000</v>
      </c>
      <c r="F16" s="124">
        <f>'Balance Sheet '!E9/Staffing!F42</f>
        <v>55000.000000000007</v>
      </c>
      <c r="G16" s="124">
        <f>'Balance Sheet '!F9/Staffing!G42</f>
        <v>60500.000000000015</v>
      </c>
      <c r="H16" s="124">
        <f>'Balance Sheet '!G9/Staffing!H42</f>
        <v>66550.000000000029</v>
      </c>
      <c r="I16" s="124">
        <f>'Balance Sheet '!H9/Staffing!I42</f>
        <v>48803.333333333358</v>
      </c>
      <c r="J16" s="124">
        <f>'Balance Sheet '!I9/Staffing!J42</f>
        <v>48803.333333333358</v>
      </c>
      <c r="K16" s="361"/>
      <c r="L16" s="539" t="e">
        <f>'Income Statement '!M19/'Income Statement '!M21</f>
        <v>#DIV/0!</v>
      </c>
      <c r="M16" s="539" t="e">
        <f>'Income Statement '!N19/'Income Statement '!N21</f>
        <v>#DIV/0!</v>
      </c>
      <c r="N16" s="539" t="e">
        <f>'Income Statement '!O19/'Income Statement '!O21</f>
        <v>#DIV/0!</v>
      </c>
      <c r="P16"/>
    </row>
    <row r="17" spans="1:16" ht="15.75">
      <c r="A17" s="306"/>
      <c r="B17" s="459" t="s">
        <v>519</v>
      </c>
      <c r="C17" s="124">
        <f>'Balance Sheet '!B9/Staffing!C42</f>
        <v>66666.666666666672</v>
      </c>
      <c r="D17" s="124">
        <f>'Balance Sheet '!C9/Staffing!D42</f>
        <v>50010</v>
      </c>
      <c r="E17" s="124">
        <f>'Balance Sheet '!D9/Staffing!E42</f>
        <v>60000</v>
      </c>
      <c r="F17" s="124">
        <f>'Balance Sheet '!E9/Staffing!F42</f>
        <v>55000.000000000007</v>
      </c>
      <c r="G17" s="124">
        <f>'Balance Sheet '!F9/Staffing!G42</f>
        <v>60500.000000000015</v>
      </c>
      <c r="H17" s="124">
        <f>'Balance Sheet '!G9/Staffing!H42</f>
        <v>66550.000000000029</v>
      </c>
      <c r="I17" s="124">
        <f>'Balance Sheet '!H9/Staffing!I42</f>
        <v>48803.333333333358</v>
      </c>
      <c r="J17" s="124">
        <f>'Balance Sheet '!I9/Staffing!J42</f>
        <v>48803.333333333358</v>
      </c>
      <c r="K17" s="361"/>
      <c r="L17" s="539" t="e">
        <f>'Income Statement '!M20/'Income Statement '!M22</f>
        <v>#DIV/0!</v>
      </c>
      <c r="M17" s="539" t="e">
        <f>'Income Statement '!N20/'Income Statement '!N22</f>
        <v>#DIV/0!</v>
      </c>
      <c r="N17" s="539" t="e">
        <f>'Income Statement '!O20/'Income Statement '!O22</f>
        <v>#DIV/0!</v>
      </c>
      <c r="P17"/>
    </row>
    <row r="18" spans="1:16" ht="15.75">
      <c r="A18" s="306"/>
      <c r="B18" s="459" t="s">
        <v>521</v>
      </c>
      <c r="C18" s="124">
        <f>'Portfolio details  '!C21/Staffing!C42</f>
        <v>66666.666666666672</v>
      </c>
      <c r="D18" s="124">
        <f>'Portfolio details  '!D21/Staffing!D42</f>
        <v>75000</v>
      </c>
      <c r="E18" s="124">
        <f>'Portfolio details  '!E21/Staffing!E42</f>
        <v>90000</v>
      </c>
      <c r="F18" s="124">
        <f>'Portfolio details  '!F21/Staffing!F42</f>
        <v>112500</v>
      </c>
      <c r="G18" s="124">
        <f>'Portfolio details  '!G21/Staffing!G42</f>
        <v>168750</v>
      </c>
      <c r="H18" s="124">
        <f>'Portfolio details  '!H21/Staffing!H42</f>
        <v>253125</v>
      </c>
      <c r="I18" s="124">
        <f>'Portfolio details  '!I21/Staffing!I42</f>
        <v>253125</v>
      </c>
      <c r="J18" s="124">
        <f>'Portfolio details  '!J21/Staffing!J42</f>
        <v>253125</v>
      </c>
      <c r="K18" s="361"/>
      <c r="L18" s="539" t="e">
        <f>'Income Statement '!M21/'Income Statement '!M23</f>
        <v>#DIV/0!</v>
      </c>
      <c r="M18" s="539" t="e">
        <f>'Income Statement '!N21/'Income Statement '!N23</f>
        <v>#DIV/0!</v>
      </c>
      <c r="N18" s="539" t="e">
        <f>'Income Statement '!O21/'Income Statement '!O23</f>
        <v>#DIV/0!</v>
      </c>
      <c r="P18"/>
    </row>
    <row r="19" spans="1:16" ht="15.75">
      <c r="A19" s="306"/>
      <c r="B19" s="459" t="s">
        <v>522</v>
      </c>
      <c r="C19" s="124">
        <f>'Portfolio details  '!C15/Staffing!C42</f>
        <v>400</v>
      </c>
      <c r="D19" s="124">
        <f>'Portfolio details  '!D15/Staffing!D42</f>
        <v>330.00000000000006</v>
      </c>
      <c r="E19" s="124">
        <f>'Portfolio details  '!E15/Staffing!E42</f>
        <v>290.40000000000009</v>
      </c>
      <c r="F19" s="124">
        <f>'Portfolio details  '!F15/Staffing!F42</f>
        <v>266.2000000000001</v>
      </c>
      <c r="G19" s="124">
        <f>'Portfolio details  '!G15/Staffing!G42</f>
        <v>292.82000000000011</v>
      </c>
      <c r="H19" s="124">
        <f>'Portfolio details  '!H15/Staffing!H42</f>
        <v>322.10200000000015</v>
      </c>
      <c r="I19" s="124">
        <f>'Portfolio details  '!I15/Staffing!I42</f>
        <v>236.20813333333345</v>
      </c>
      <c r="J19" s="124">
        <f>'Portfolio details  '!J15/Staffing!J42</f>
        <v>823.62280000000032</v>
      </c>
      <c r="K19" s="361"/>
      <c r="L19" s="539" t="e">
        <f>'Income Statement '!M22/'Income Statement '!M24</f>
        <v>#DIV/0!</v>
      </c>
      <c r="M19" s="539" t="e">
        <f>'Income Statement '!N22/'Income Statement '!N24</f>
        <v>#DIV/0!</v>
      </c>
      <c r="N19" s="539" t="e">
        <f>'Income Statement '!O22/'Income Statement '!O24</f>
        <v>#DIV/0!</v>
      </c>
      <c r="P19"/>
    </row>
    <row r="20" spans="1:16" ht="15.75">
      <c r="A20" s="306"/>
      <c r="B20" s="459" t="s">
        <v>432</v>
      </c>
      <c r="C20" s="624"/>
      <c r="D20" s="538">
        <f>'Balance Sheet '!C9/'Balance Sheet '!B9</f>
        <v>1.0002</v>
      </c>
      <c r="E20" s="538">
        <f>'Balance Sheet '!D9/'Balance Sheet '!C9</f>
        <v>1.4997000599880024</v>
      </c>
      <c r="F20" s="538">
        <f>'Balance Sheet '!E9/'Balance Sheet '!D9</f>
        <v>1.1000000000000001</v>
      </c>
      <c r="G20" s="538">
        <f>'Balance Sheet '!F9/'Balance Sheet '!E9</f>
        <v>1.1000000000000001</v>
      </c>
      <c r="H20" s="538">
        <f>'Balance Sheet '!G9/'Balance Sheet '!F9</f>
        <v>1.1000000000000001</v>
      </c>
      <c r="I20" s="538">
        <f>'Balance Sheet '!H9/'Balance Sheet '!G9</f>
        <v>1.1000000000000001</v>
      </c>
      <c r="J20" s="540">
        <f>'Balance Sheet '!I9/'Balance Sheet '!D9</f>
        <v>1.4641000000000006</v>
      </c>
      <c r="K20" s="361"/>
      <c r="L20" s="539" t="e">
        <f>'Income Statement '!M23/'Income Statement '!M25</f>
        <v>#DIV/0!</v>
      </c>
      <c r="M20" s="539" t="e">
        <f>'Income Statement '!N23/'Income Statement '!N25</f>
        <v>#DIV/0!</v>
      </c>
      <c r="N20" s="539" t="e">
        <f>'Income Statement '!O23/'Income Statement '!O25</f>
        <v>#DIV/0!</v>
      </c>
      <c r="P20"/>
    </row>
    <row r="21" spans="1:16" ht="15.75">
      <c r="A21" s="306"/>
      <c r="B21" s="459" t="s">
        <v>518</v>
      </c>
      <c r="C21" s="124">
        <f>'Portfolio details  '!C24/'Portfolio details  '!C12</f>
        <v>202.6061776061776</v>
      </c>
      <c r="D21" s="124">
        <f>'Portfolio details  '!D24/'Portfolio details  '!D12</f>
        <v>160.99918183677644</v>
      </c>
      <c r="E21" s="124">
        <f>'Portfolio details  '!E24/'Portfolio details  '!E12</f>
        <v>159.16735194596853</v>
      </c>
      <c r="F21" s="124">
        <f>'Portfolio details  '!F24/'Portfolio details  '!F12</f>
        <v>173.63579187210587</v>
      </c>
      <c r="G21" s="124">
        <f>'Portfolio details  '!G24/'Portfolio details  '!G12</f>
        <v>200.34805382250022</v>
      </c>
      <c r="H21" s="124">
        <f>'Portfolio details  '!H24/'Portfolio details  '!H12</f>
        <v>239.67943078638802</v>
      </c>
      <c r="I21" s="124">
        <f>'Portfolio details  '!I24/'Portfolio details  '!I12</f>
        <v>294.03656873462137</v>
      </c>
      <c r="J21" s="405">
        <f>I21</f>
        <v>294.03656873462137</v>
      </c>
      <c r="K21" s="361"/>
      <c r="L21" s="128"/>
      <c r="M21" s="128"/>
      <c r="N21" s="146"/>
      <c r="P21"/>
    </row>
    <row r="22" spans="1:16" ht="15.75">
      <c r="A22" s="306"/>
      <c r="B22" s="459" t="s">
        <v>526</v>
      </c>
      <c r="C22" s="124">
        <f>'Portfolio details  '!C21/'Portfolio details  '!C9</f>
        <v>200</v>
      </c>
      <c r="D22" s="124">
        <f>'Portfolio details  '!D21/'Portfolio details  '!D9</f>
        <v>272.72727272727275</v>
      </c>
      <c r="E22" s="124">
        <f>'Portfolio details  '!E21/'Portfolio details  '!E9</f>
        <v>371.90082644628092</v>
      </c>
      <c r="F22" s="124">
        <f>'Portfolio details  '!F21/'Portfolio details  '!F9</f>
        <v>507.13749060856486</v>
      </c>
      <c r="G22" s="124">
        <f>'Portfolio details  '!G21/'Portfolio details  '!G9</f>
        <v>691.55112355713379</v>
      </c>
      <c r="H22" s="124">
        <f>'Portfolio details  '!H21/'Portfolio details  '!H9</f>
        <v>943.02425939609145</v>
      </c>
      <c r="I22" s="124">
        <f>'Portfolio details  '!I21/'Portfolio details  '!I9</f>
        <v>1285.9421719037609</v>
      </c>
      <c r="J22" s="405"/>
      <c r="K22" s="361"/>
      <c r="L22" s="128"/>
      <c r="M22" s="128"/>
      <c r="N22" s="146"/>
      <c r="P22"/>
    </row>
    <row r="23" spans="1:16" ht="15.75">
      <c r="A23" s="306"/>
      <c r="B23" s="459" t="s">
        <v>524</v>
      </c>
      <c r="C23" s="124"/>
      <c r="D23" s="125"/>
      <c r="E23" s="126"/>
      <c r="F23" s="126"/>
      <c r="G23" s="126"/>
      <c r="H23" s="127"/>
      <c r="I23" s="126"/>
      <c r="J23" s="405"/>
      <c r="K23" s="361"/>
      <c r="L23" s="128"/>
      <c r="M23" s="128"/>
      <c r="N23" s="146"/>
      <c r="P23"/>
    </row>
    <row r="24" spans="1:16" ht="15.75">
      <c r="A24" s="306"/>
      <c r="B24" s="459" t="s">
        <v>444</v>
      </c>
      <c r="C24" s="124"/>
      <c r="D24" s="125"/>
      <c r="E24" s="126"/>
      <c r="F24" s="126"/>
      <c r="G24" s="126"/>
      <c r="H24" s="127"/>
      <c r="I24" s="126"/>
      <c r="J24" s="405"/>
      <c r="K24" s="361"/>
      <c r="L24" s="128"/>
      <c r="M24" s="128"/>
      <c r="N24" s="146"/>
      <c r="P24"/>
    </row>
    <row r="25" spans="1:16" ht="15.75">
      <c r="A25" s="306"/>
      <c r="B25" s="459" t="s">
        <v>445</v>
      </c>
      <c r="C25" s="124"/>
      <c r="D25" s="125"/>
      <c r="E25" s="126"/>
      <c r="F25" s="126"/>
      <c r="G25" s="126"/>
      <c r="H25" s="127"/>
      <c r="I25" s="126"/>
      <c r="J25" s="405"/>
      <c r="K25" s="361"/>
      <c r="L25" s="128"/>
      <c r="M25" s="128"/>
      <c r="N25" s="146"/>
      <c r="P25"/>
    </row>
    <row r="26" spans="1:16" ht="15.75">
      <c r="A26" s="306"/>
      <c r="B26" s="459" t="s">
        <v>443</v>
      </c>
      <c r="C26" s="124"/>
      <c r="D26" s="125"/>
      <c r="E26" s="126"/>
      <c r="F26" s="126"/>
      <c r="G26" s="126"/>
      <c r="H26" s="127"/>
      <c r="I26" s="126"/>
      <c r="J26" s="405"/>
      <c r="K26" s="361"/>
      <c r="L26" s="128"/>
      <c r="M26" s="128"/>
      <c r="N26" s="146"/>
      <c r="P26"/>
    </row>
    <row r="27" spans="1:16" ht="15.75">
      <c r="A27" s="306"/>
      <c r="B27" s="459" t="s">
        <v>444</v>
      </c>
      <c r="C27" s="124"/>
      <c r="D27" s="125"/>
      <c r="E27" s="126"/>
      <c r="F27" s="126"/>
      <c r="G27" s="126"/>
      <c r="H27" s="127"/>
      <c r="I27" s="126"/>
      <c r="J27" s="405"/>
      <c r="K27" s="361"/>
      <c r="L27" s="128"/>
      <c r="M27" s="128"/>
      <c r="N27" s="146"/>
      <c r="P27"/>
    </row>
    <row r="28" spans="1:16" ht="15.75">
      <c r="A28" s="306"/>
      <c r="B28" s="459" t="s">
        <v>525</v>
      </c>
      <c r="C28" s="537">
        <v>0.4</v>
      </c>
      <c r="D28" s="538">
        <v>0.45</v>
      </c>
      <c r="E28" s="539">
        <v>0.5</v>
      </c>
      <c r="F28" s="539">
        <v>0.52</v>
      </c>
      <c r="G28" s="539">
        <v>0.52</v>
      </c>
      <c r="H28" s="539">
        <v>0.53</v>
      </c>
      <c r="I28" s="539">
        <v>0.45</v>
      </c>
      <c r="J28" s="540">
        <f>I28</f>
        <v>0.45</v>
      </c>
      <c r="K28" s="361"/>
      <c r="L28" s="539" t="e">
        <f>'Income Statement '!M31/'Income Statement '!M33</f>
        <v>#DIV/0!</v>
      </c>
      <c r="M28" s="539" t="e">
        <f>'Income Statement '!N31/'Income Statement '!N33</f>
        <v>#DIV/0!</v>
      </c>
      <c r="N28" s="539" t="e">
        <f>'Income Statement '!O31/'Income Statement '!O33</f>
        <v>#DIV/0!</v>
      </c>
      <c r="P28"/>
    </row>
    <row r="29" spans="1:16" ht="15.75">
      <c r="B29" s="460" t="s">
        <v>448</v>
      </c>
      <c r="C29" s="124"/>
      <c r="D29" s="125"/>
      <c r="E29" s="126"/>
      <c r="F29" s="126"/>
      <c r="G29" s="126"/>
      <c r="H29" s="127"/>
      <c r="I29" s="126"/>
      <c r="J29" s="405">
        <f t="shared" si="1"/>
        <v>0</v>
      </c>
      <c r="K29" s="361"/>
      <c r="L29" s="539" t="e">
        <f>'Income Statement '!M32/'Income Statement '!M34</f>
        <v>#DIV/0!</v>
      </c>
      <c r="M29" s="539" t="e">
        <f>'Income Statement '!N32/'Income Statement '!N34</f>
        <v>#DIV/0!</v>
      </c>
      <c r="N29" s="539" t="e">
        <f>'Income Statement '!O32/'Income Statement '!O34</f>
        <v>#DIV/0!</v>
      </c>
      <c r="P29"/>
    </row>
    <row r="30" spans="1:16" ht="18.75" customHeight="1">
      <c r="B30" s="459" t="s">
        <v>514</v>
      </c>
      <c r="C30" s="537">
        <v>0.02</v>
      </c>
      <c r="D30" s="538">
        <v>0.03</v>
      </c>
      <c r="E30" s="539">
        <v>0.02</v>
      </c>
      <c r="F30" s="539">
        <v>0.03</v>
      </c>
      <c r="G30" s="539">
        <v>0.03</v>
      </c>
      <c r="H30" s="539">
        <v>0.04</v>
      </c>
      <c r="I30" s="539">
        <v>0.04</v>
      </c>
      <c r="J30" s="540">
        <f>I30</f>
        <v>0.04</v>
      </c>
      <c r="K30" s="361"/>
      <c r="L30" s="539" t="e">
        <f>'Income Statement '!M33/'Income Statement '!M35</f>
        <v>#DIV/0!</v>
      </c>
      <c r="M30" s="539" t="e">
        <f>'Income Statement '!N33/'Income Statement '!N35</f>
        <v>#DIV/0!</v>
      </c>
      <c r="N30" s="539" t="e">
        <f>'Income Statement '!O33/'Income Statement '!O35</f>
        <v>#DIV/0!</v>
      </c>
      <c r="P30"/>
    </row>
    <row r="31" spans="1:16" ht="15.75">
      <c r="A31" s="306"/>
      <c r="B31" s="459" t="s">
        <v>513</v>
      </c>
      <c r="C31" s="537">
        <v>0.06</v>
      </c>
      <c r="D31" s="538">
        <v>0.05</v>
      </c>
      <c r="E31" s="539">
        <v>0.05</v>
      </c>
      <c r="F31" s="539">
        <v>0.06</v>
      </c>
      <c r="G31" s="539">
        <v>0.04</v>
      </c>
      <c r="H31" s="539">
        <v>0.02</v>
      </c>
      <c r="I31" s="539">
        <v>0.06</v>
      </c>
      <c r="J31" s="540">
        <f>I31</f>
        <v>0.06</v>
      </c>
      <c r="K31" s="361"/>
      <c r="L31" s="539" t="e">
        <f>'Income Statement '!M34/'Income Statement '!M36</f>
        <v>#DIV/0!</v>
      </c>
      <c r="M31" s="539" t="e">
        <f>'Income Statement '!N34/'Income Statement '!N36</f>
        <v>#DIV/0!</v>
      </c>
      <c r="N31" s="539" t="e">
        <f>'Income Statement '!O34/'Income Statement '!O36</f>
        <v>#DIV/0!</v>
      </c>
      <c r="P31"/>
    </row>
    <row r="32" spans="1:16" ht="15.75">
      <c r="A32" s="306"/>
      <c r="B32" s="459" t="s">
        <v>449</v>
      </c>
      <c r="C32" s="537">
        <v>1</v>
      </c>
      <c r="D32" s="538">
        <v>1.03</v>
      </c>
      <c r="E32" s="539">
        <v>1.05</v>
      </c>
      <c r="F32" s="539">
        <v>0.95</v>
      </c>
      <c r="G32" s="539">
        <v>1.1000000000000001</v>
      </c>
      <c r="H32" s="539">
        <v>0.9</v>
      </c>
      <c r="I32" s="539">
        <v>0.95</v>
      </c>
      <c r="J32" s="540">
        <f>I32</f>
        <v>0.95</v>
      </c>
      <c r="K32" s="361"/>
      <c r="L32" s="539" t="e">
        <f>'Income Statement '!M35/'Income Statement '!M37</f>
        <v>#DIV/0!</v>
      </c>
      <c r="M32" s="539" t="e">
        <f>'Income Statement '!N35/'Income Statement '!N37</f>
        <v>#DIV/0!</v>
      </c>
      <c r="N32" s="539" t="e">
        <f>'Income Statement '!O35/'Income Statement '!O37</f>
        <v>#DIV/0!</v>
      </c>
      <c r="P32"/>
    </row>
    <row r="33" spans="1:16" ht="15.75">
      <c r="A33" s="306"/>
      <c r="B33" s="459" t="s">
        <v>450</v>
      </c>
      <c r="C33" s="537">
        <v>0.97</v>
      </c>
      <c r="D33" s="538">
        <v>1</v>
      </c>
      <c r="E33" s="539">
        <v>1.01</v>
      </c>
      <c r="F33" s="539">
        <v>0.9</v>
      </c>
      <c r="G33" s="539">
        <v>1.05</v>
      </c>
      <c r="H33" s="539">
        <v>0.88</v>
      </c>
      <c r="I33" s="539">
        <v>0.91</v>
      </c>
      <c r="J33" s="540">
        <f>I33</f>
        <v>0.91</v>
      </c>
      <c r="K33" s="361"/>
      <c r="L33" s="539" t="e">
        <f>'Income Statement '!M36/'Income Statement '!M38</f>
        <v>#DIV/0!</v>
      </c>
      <c r="M33" s="539" t="e">
        <f>'Income Statement '!N36/'Income Statement '!N38</f>
        <v>#DIV/0!</v>
      </c>
      <c r="N33" s="539" t="e">
        <f>'Income Statement '!O36/'Income Statement '!O38</f>
        <v>#DIV/0!</v>
      </c>
      <c r="P33"/>
    </row>
    <row r="34" spans="1:16" ht="15.75">
      <c r="A34" s="306"/>
      <c r="B34" s="459" t="s">
        <v>318</v>
      </c>
      <c r="C34" s="537">
        <v>0.2</v>
      </c>
      <c r="D34" s="538">
        <v>0.22</v>
      </c>
      <c r="E34" s="539">
        <v>0.25</v>
      </c>
      <c r="F34" s="539">
        <v>0.28000000000000003</v>
      </c>
      <c r="G34" s="539">
        <v>0.3</v>
      </c>
      <c r="H34" s="539">
        <v>0.28000000000000003</v>
      </c>
      <c r="I34" s="539">
        <v>0.25</v>
      </c>
      <c r="J34" s="540">
        <f t="shared" ref="J34:J36" si="2">I34</f>
        <v>0.25</v>
      </c>
      <c r="K34" s="361"/>
      <c r="L34" s="539" t="e">
        <f>'Income Statement '!M37/'Income Statement '!M39</f>
        <v>#DIV/0!</v>
      </c>
      <c r="M34" s="539" t="e">
        <f>'Income Statement '!N37/'Income Statement '!N39</f>
        <v>#DIV/0!</v>
      </c>
      <c r="N34" s="539" t="e">
        <f>'Income Statement '!O37/'Income Statement '!O39</f>
        <v>#DIV/0!</v>
      </c>
      <c r="P34"/>
    </row>
    <row r="35" spans="1:16" ht="15.75">
      <c r="A35" s="306"/>
      <c r="B35" s="459" t="s">
        <v>332</v>
      </c>
      <c r="C35" s="537">
        <v>0.18</v>
      </c>
      <c r="D35" s="538">
        <v>0.2</v>
      </c>
      <c r="E35" s="539">
        <v>0.22</v>
      </c>
      <c r="F35" s="539">
        <v>0.17</v>
      </c>
      <c r="G35" s="539">
        <v>0.15</v>
      </c>
      <c r="H35" s="539">
        <v>0.14000000000000001</v>
      </c>
      <c r="I35" s="539">
        <v>0.15</v>
      </c>
      <c r="J35" s="540">
        <f t="shared" si="2"/>
        <v>0.15</v>
      </c>
      <c r="K35" s="361"/>
      <c r="L35" s="539" t="e">
        <f>'Income Statement '!M38/'Income Statement '!M40</f>
        <v>#DIV/0!</v>
      </c>
      <c r="M35" s="539" t="e">
        <f>'Income Statement '!N38/'Income Statement '!N40</f>
        <v>#DIV/0!</v>
      </c>
      <c r="N35" s="539" t="e">
        <f>'Income Statement '!O38/'Income Statement '!O40</f>
        <v>#DIV/0!</v>
      </c>
      <c r="P35"/>
    </row>
    <row r="36" spans="1:16" ht="15.75">
      <c r="A36" s="306"/>
      <c r="B36" s="459" t="s">
        <v>523</v>
      </c>
      <c r="C36" s="537">
        <v>0.1</v>
      </c>
      <c r="D36" s="538">
        <v>0.08</v>
      </c>
      <c r="E36" s="539">
        <v>0.12</v>
      </c>
      <c r="F36" s="539">
        <v>0.11</v>
      </c>
      <c r="G36" s="539">
        <v>0.1</v>
      </c>
      <c r="H36" s="539">
        <v>0.1</v>
      </c>
      <c r="I36" s="539">
        <v>0.09</v>
      </c>
      <c r="J36" s="540">
        <f t="shared" si="2"/>
        <v>0.09</v>
      </c>
      <c r="K36" s="361"/>
      <c r="L36" s="539" t="e">
        <f>'Income Statement '!M39/'Income Statement '!M41</f>
        <v>#DIV/0!</v>
      </c>
      <c r="M36" s="539" t="e">
        <f>'Income Statement '!N39/'Income Statement '!N41</f>
        <v>#DIV/0!</v>
      </c>
      <c r="N36" s="539" t="e">
        <f>'Income Statement '!O39/'Income Statement '!O41</f>
        <v>#DIV/0!</v>
      </c>
      <c r="P36"/>
    </row>
    <row r="37" spans="1:16" ht="15.75">
      <c r="A37" s="306"/>
      <c r="B37" s="447" t="s">
        <v>441</v>
      </c>
      <c r="C37" s="124"/>
      <c r="D37" s="125"/>
      <c r="E37" s="126"/>
      <c r="F37" s="126"/>
      <c r="G37" s="126"/>
      <c r="H37" s="127"/>
      <c r="I37" s="126"/>
      <c r="J37" s="405">
        <f t="shared" si="1"/>
        <v>0</v>
      </c>
      <c r="K37" s="361"/>
      <c r="L37" s="128"/>
      <c r="M37" s="128"/>
      <c r="N37" s="146"/>
      <c r="P37"/>
    </row>
    <row r="38" spans="1:16" ht="15.75">
      <c r="A38" s="306"/>
      <c r="B38" s="459" t="s">
        <v>688</v>
      </c>
      <c r="C38" s="537">
        <v>0.1</v>
      </c>
      <c r="D38" s="538">
        <v>0.12</v>
      </c>
      <c r="E38" s="539">
        <v>0.18</v>
      </c>
      <c r="F38" s="539">
        <v>0.11</v>
      </c>
      <c r="G38" s="539">
        <v>0.1</v>
      </c>
      <c r="H38" s="539">
        <v>0.12</v>
      </c>
      <c r="I38" s="539">
        <v>0.15</v>
      </c>
      <c r="J38" s="540">
        <f>I38</f>
        <v>0.15</v>
      </c>
      <c r="K38" s="361"/>
      <c r="L38" s="539" t="e">
        <f>'Income Statement '!M41/'Income Statement '!M43</f>
        <v>#DIV/0!</v>
      </c>
      <c r="M38" s="539" t="e">
        <f>'Income Statement '!N41/'Income Statement '!N43</f>
        <v>#DIV/0!</v>
      </c>
      <c r="N38" s="539" t="e">
        <f>'Income Statement '!O41/'Income Statement '!O43</f>
        <v>#DIV/0!</v>
      </c>
      <c r="P38"/>
    </row>
    <row r="39" spans="1:16" ht="15.75">
      <c r="B39" s="459" t="s">
        <v>689</v>
      </c>
      <c r="C39" s="537">
        <v>0.06</v>
      </c>
      <c r="D39" s="541">
        <v>0.08</v>
      </c>
      <c r="E39" s="542">
        <v>0.09</v>
      </c>
      <c r="F39" s="542">
        <v>7.0000000000000007E-2</v>
      </c>
      <c r="G39" s="542">
        <v>0.08</v>
      </c>
      <c r="H39" s="542">
        <v>0.11</v>
      </c>
      <c r="I39" s="542">
        <v>0.1</v>
      </c>
      <c r="J39" s="540">
        <f>I39</f>
        <v>0.1</v>
      </c>
      <c r="K39" s="361"/>
      <c r="L39" s="539" t="e">
        <f>'Income Statement '!M42/'Income Statement '!M44</f>
        <v>#DIV/0!</v>
      </c>
      <c r="M39" s="539" t="e">
        <f>'Income Statement '!N42/'Income Statement '!N44</f>
        <v>#DIV/0!</v>
      </c>
      <c r="N39" s="539" t="e">
        <f>'Income Statement '!O42/'Income Statement '!O44</f>
        <v>#DIV/0!</v>
      </c>
      <c r="P39"/>
    </row>
    <row r="40" spans="1:16" ht="15.75">
      <c r="A40" s="306"/>
      <c r="B40" s="459" t="s">
        <v>442</v>
      </c>
      <c r="C40" s="124"/>
      <c r="D40" s="125"/>
      <c r="E40" s="126"/>
      <c r="F40" s="126"/>
      <c r="G40" s="126"/>
      <c r="H40" s="127"/>
      <c r="I40" s="126"/>
      <c r="J40" s="405">
        <f t="shared" si="1"/>
        <v>0</v>
      </c>
      <c r="K40" s="361"/>
      <c r="L40" s="128"/>
      <c r="M40" s="128"/>
      <c r="N40" s="146"/>
      <c r="P40"/>
    </row>
    <row r="41" spans="1:16" ht="15.75">
      <c r="A41" s="306"/>
      <c r="B41" s="459" t="s">
        <v>334</v>
      </c>
      <c r="C41" s="124"/>
      <c r="D41" s="125"/>
      <c r="E41" s="126"/>
      <c r="F41" s="126"/>
      <c r="G41" s="126"/>
      <c r="H41" s="127"/>
      <c r="I41" s="126"/>
      <c r="J41" s="405">
        <f t="shared" si="1"/>
        <v>0</v>
      </c>
      <c r="K41" s="361"/>
      <c r="L41" s="128"/>
      <c r="M41" s="128"/>
      <c r="N41" s="146"/>
      <c r="P41"/>
    </row>
    <row r="42" spans="1:16" ht="15.75">
      <c r="B42" s="460" t="s">
        <v>437</v>
      </c>
      <c r="C42" s="124"/>
      <c r="D42" s="125"/>
      <c r="E42" s="126"/>
      <c r="F42" s="126"/>
      <c r="G42" s="126"/>
      <c r="H42" s="127"/>
      <c r="I42" s="126"/>
      <c r="J42" s="405">
        <f t="shared" si="1"/>
        <v>0</v>
      </c>
      <c r="K42" s="361"/>
      <c r="L42" s="128"/>
      <c r="M42" s="128"/>
      <c r="N42" s="146"/>
      <c r="P42"/>
    </row>
    <row r="43" spans="1:16" ht="15.75">
      <c r="B43" s="459" t="s">
        <v>434</v>
      </c>
      <c r="C43" s="124"/>
      <c r="D43" s="125"/>
      <c r="E43" s="126"/>
      <c r="F43" s="126"/>
      <c r="G43" s="126"/>
      <c r="H43" s="127"/>
      <c r="I43" s="126"/>
      <c r="J43" s="405">
        <f t="shared" si="1"/>
        <v>0</v>
      </c>
      <c r="K43" s="361"/>
      <c r="L43" s="128"/>
      <c r="M43" s="128"/>
      <c r="N43" s="146"/>
      <c r="P43"/>
    </row>
    <row r="44" spans="1:16" ht="15.75">
      <c r="B44" s="459" t="s">
        <v>435</v>
      </c>
      <c r="C44" s="537">
        <v>0.3</v>
      </c>
      <c r="D44" s="538">
        <v>0.4</v>
      </c>
      <c r="E44" s="539">
        <v>0.38</v>
      </c>
      <c r="F44" s="539">
        <v>0.4</v>
      </c>
      <c r="G44" s="539">
        <v>0.35</v>
      </c>
      <c r="H44" s="539">
        <v>0.4</v>
      </c>
      <c r="I44" s="539">
        <v>0.4</v>
      </c>
      <c r="J44" s="540">
        <f>I44</f>
        <v>0.4</v>
      </c>
      <c r="K44" s="361"/>
      <c r="L44" s="539" t="e">
        <f>'Income Statement '!M47/'Income Statement '!M49</f>
        <v>#DIV/0!</v>
      </c>
      <c r="M44" s="539" t="e">
        <f>'Income Statement '!N47/'Income Statement '!N49</f>
        <v>#DIV/0!</v>
      </c>
      <c r="N44" s="539" t="e">
        <f>'Income Statement '!O47/'Income Statement '!O49</f>
        <v>#DIV/0!</v>
      </c>
      <c r="P44"/>
    </row>
    <row r="45" spans="1:16" ht="15.75">
      <c r="B45" s="459" t="s">
        <v>438</v>
      </c>
      <c r="C45" s="537">
        <v>0.25</v>
      </c>
      <c r="D45" s="538">
        <v>0.28000000000000003</v>
      </c>
      <c r="E45" s="539">
        <v>0.28000000000000003</v>
      </c>
      <c r="F45" s="539">
        <v>0.22</v>
      </c>
      <c r="G45" s="539">
        <v>0.22</v>
      </c>
      <c r="H45" s="539">
        <v>0.25</v>
      </c>
      <c r="I45" s="539">
        <v>0.2</v>
      </c>
      <c r="J45" s="540">
        <f>I45</f>
        <v>0.2</v>
      </c>
      <c r="K45" s="361"/>
      <c r="L45" s="539" t="e">
        <f>'Income Statement '!M48/'Income Statement '!M50</f>
        <v>#DIV/0!</v>
      </c>
      <c r="M45" s="539" t="e">
        <f>'Income Statement '!N48/'Income Statement '!N50</f>
        <v>#DIV/0!</v>
      </c>
      <c r="N45" s="539" t="e">
        <f>'Income Statement '!O48/'Income Statement '!O50</f>
        <v>#DIV/0!</v>
      </c>
      <c r="P45"/>
    </row>
    <row r="46" spans="1:16" ht="15.75">
      <c r="B46" s="459" t="s">
        <v>439</v>
      </c>
      <c r="C46" s="124"/>
      <c r="D46" s="125"/>
      <c r="E46" s="126"/>
      <c r="F46" s="126"/>
      <c r="G46" s="126"/>
      <c r="H46" s="127"/>
      <c r="I46" s="126"/>
      <c r="J46" s="405">
        <f t="shared" si="1"/>
        <v>0</v>
      </c>
      <c r="K46" s="361"/>
      <c r="L46" s="128"/>
      <c r="M46" s="128"/>
      <c r="N46" s="146"/>
      <c r="P46"/>
    </row>
    <row r="47" spans="1:16" ht="15.75">
      <c r="B47" s="459" t="s">
        <v>440</v>
      </c>
      <c r="C47" s="124"/>
      <c r="D47" s="125"/>
      <c r="E47" s="126"/>
      <c r="F47" s="126"/>
      <c r="G47" s="126"/>
      <c r="H47" s="127"/>
      <c r="I47" s="126"/>
      <c r="J47" s="405">
        <f t="shared" si="1"/>
        <v>0</v>
      </c>
      <c r="K47" s="361"/>
      <c r="L47" s="128"/>
      <c r="M47" s="128"/>
      <c r="N47" s="146"/>
    </row>
    <row r="48" spans="1:16" ht="31.5">
      <c r="B48" s="459" t="s">
        <v>496</v>
      </c>
      <c r="C48" s="124"/>
      <c r="D48" s="125"/>
      <c r="E48" s="126"/>
      <c r="F48" s="126"/>
      <c r="G48" s="126"/>
      <c r="H48" s="127"/>
      <c r="I48" s="126"/>
      <c r="J48" s="405">
        <f t="shared" si="1"/>
        <v>0</v>
      </c>
      <c r="K48" s="361"/>
      <c r="L48" s="128"/>
      <c r="M48" s="128"/>
      <c r="N48" s="146"/>
    </row>
    <row r="49" spans="2:14" ht="15.75">
      <c r="B49" s="460" t="s">
        <v>446</v>
      </c>
      <c r="C49" s="124"/>
      <c r="D49" s="125"/>
      <c r="E49" s="126"/>
      <c r="F49" s="126"/>
      <c r="G49" s="126"/>
      <c r="H49" s="127"/>
      <c r="I49" s="126"/>
      <c r="J49" s="405">
        <f t="shared" si="1"/>
        <v>0</v>
      </c>
      <c r="K49" s="361"/>
      <c r="L49" s="128"/>
      <c r="M49" s="128"/>
      <c r="N49" s="146"/>
    </row>
    <row r="50" spans="2:14" ht="15.75">
      <c r="B50" s="459" t="s">
        <v>447</v>
      </c>
      <c r="C50" s="537">
        <v>0.6</v>
      </c>
      <c r="D50" s="537">
        <v>0.55000000000000004</v>
      </c>
      <c r="E50" s="537">
        <v>0.65</v>
      </c>
      <c r="F50" s="126"/>
      <c r="G50" s="126"/>
      <c r="H50" s="127"/>
      <c r="I50" s="126"/>
      <c r="J50" s="405">
        <f t="shared" si="1"/>
        <v>0</v>
      </c>
      <c r="K50" s="361"/>
      <c r="L50" s="128"/>
      <c r="M50" s="128"/>
      <c r="N50" s="146"/>
    </row>
    <row r="51" spans="2:14" ht="15.75">
      <c r="B51" s="459" t="s">
        <v>516</v>
      </c>
      <c r="C51" s="124"/>
      <c r="D51" s="125"/>
      <c r="E51" s="126"/>
      <c r="F51" s="126"/>
      <c r="G51" s="126"/>
      <c r="H51" s="127"/>
      <c r="I51" s="126"/>
      <c r="J51" s="405">
        <f t="shared" ref="J51:J53" si="3">SUM(F51:I51)</f>
        <v>0</v>
      </c>
      <c r="K51" s="361"/>
      <c r="L51" s="128"/>
      <c r="M51" s="128"/>
      <c r="N51" s="146"/>
    </row>
    <row r="52" spans="2:14" ht="15.75">
      <c r="B52" s="459" t="s">
        <v>515</v>
      </c>
      <c r="C52" s="537">
        <v>0.3</v>
      </c>
      <c r="D52" s="537">
        <v>0.3</v>
      </c>
      <c r="E52" s="537">
        <v>0.35</v>
      </c>
      <c r="F52" s="126"/>
      <c r="G52" s="126"/>
      <c r="H52" s="127"/>
      <c r="I52" s="126"/>
      <c r="J52" s="405">
        <f t="shared" si="3"/>
        <v>0</v>
      </c>
      <c r="K52" s="361"/>
      <c r="L52" s="128"/>
      <c r="M52" s="128"/>
      <c r="N52" s="146"/>
    </row>
    <row r="53" spans="2:14" ht="15.75">
      <c r="B53" s="459" t="s">
        <v>517</v>
      </c>
      <c r="C53" s="124"/>
      <c r="D53" s="125"/>
      <c r="E53" s="126"/>
      <c r="F53" s="126"/>
      <c r="G53" s="126"/>
      <c r="H53" s="127"/>
      <c r="I53" s="126"/>
      <c r="J53" s="405">
        <f t="shared" si="3"/>
        <v>0</v>
      </c>
      <c r="K53" s="361"/>
      <c r="L53" s="128"/>
      <c r="M53" s="128"/>
      <c r="N53" s="146"/>
    </row>
    <row r="54" spans="2:14" ht="15.75">
      <c r="B54" s="459" t="s">
        <v>433</v>
      </c>
      <c r="C54" s="124"/>
      <c r="D54" s="125"/>
      <c r="E54" s="126"/>
      <c r="F54" s="126"/>
      <c r="G54" s="126"/>
      <c r="H54" s="127"/>
      <c r="I54" s="126"/>
      <c r="J54" s="405">
        <f t="shared" ref="J54:J55" si="4">SUM(F54:I54)</f>
        <v>0</v>
      </c>
      <c r="K54" s="361"/>
      <c r="L54" s="128"/>
      <c r="M54" s="128"/>
      <c r="N54" s="146"/>
    </row>
    <row r="55" spans="2:14" ht="15.75">
      <c r="B55" s="459" t="s">
        <v>333</v>
      </c>
      <c r="C55" s="117"/>
      <c r="D55" s="118"/>
      <c r="E55" s="20"/>
      <c r="F55" s="20"/>
      <c r="G55" s="20"/>
      <c r="H55" s="121"/>
      <c r="I55" s="20"/>
      <c r="J55" s="404">
        <f t="shared" si="4"/>
        <v>0</v>
      </c>
      <c r="K55" s="490"/>
      <c r="L55" s="491"/>
      <c r="M55" s="491"/>
      <c r="N55" s="137"/>
    </row>
    <row r="56" spans="2:14" ht="15.75">
      <c r="B56" s="496" t="s">
        <v>530</v>
      </c>
      <c r="C56" s="497"/>
      <c r="D56" s="498"/>
      <c r="E56" s="499"/>
      <c r="F56" s="499"/>
      <c r="G56" s="499"/>
      <c r="H56" s="500"/>
      <c r="I56" s="499"/>
      <c r="J56" s="501"/>
      <c r="K56" s="502"/>
      <c r="L56" s="503"/>
      <c r="M56" s="503"/>
      <c r="N56" s="503"/>
    </row>
    <row r="57" spans="2:14">
      <c r="C57" s="489"/>
      <c r="D57" s="489"/>
      <c r="E57" s="489"/>
      <c r="F57" s="489"/>
      <c r="G57" s="489"/>
      <c r="H57" s="489"/>
      <c r="I57" s="489"/>
      <c r="J57" s="489"/>
      <c r="K57" s="489"/>
      <c r="L57" s="489"/>
      <c r="M57" s="489"/>
      <c r="N57" s="489"/>
    </row>
    <row r="61" spans="2:14">
      <c r="B61" s="2" t="s">
        <v>738</v>
      </c>
      <c r="D61" s="2">
        <f>('Balance Sheet '!B24+'Balance Sheet '!C24)/2</f>
        <v>1850400</v>
      </c>
      <c r="E61" s="2">
        <f>('Balance Sheet '!C24+'Balance Sheet '!D24)/2</f>
        <v>2401555</v>
      </c>
      <c r="F61" s="2">
        <f>('Balance Sheet '!D24+'Balance Sheet '!E24)/2</f>
        <v>2841850.5000000005</v>
      </c>
      <c r="G61" s="2">
        <f>('Balance Sheet '!E24+'Balance Sheet '!F24)/2</f>
        <v>3123885.5500000007</v>
      </c>
      <c r="H61" s="2">
        <f>('Balance Sheet '!F24+'Balance Sheet '!G24)/2</f>
        <v>3427944.1050000014</v>
      </c>
      <c r="I61" s="2">
        <f>('Balance Sheet '!G24+'Balance Sheet '!H24)/2</f>
        <v>3676986.8905000016</v>
      </c>
      <c r="J61" s="2">
        <f>('Balance Sheet '!D24+'Balance Sheet '!I24)/2</f>
        <v>5825677.8355000019</v>
      </c>
    </row>
    <row r="62" spans="2:14">
      <c r="B62" s="2" t="s">
        <v>739</v>
      </c>
    </row>
    <row r="63" spans="2:14">
      <c r="D63" s="2">
        <f>('Portfolio details  '!C19+'Portfolio details  '!D19)/2</f>
        <v>1311875</v>
      </c>
      <c r="E63" s="2">
        <f>('Portfolio details  '!D19+'Portfolio details  '!E19)/2</f>
        <v>1967812.5</v>
      </c>
      <c r="F63" s="2">
        <f>('Portfolio details  '!E19+'Portfolio details  '!F19)/2</f>
        <v>2951718.75</v>
      </c>
      <c r="G63" s="2">
        <f>('Portfolio details  '!F19+'Portfolio details  '!G19)/2</f>
        <v>4427578.125</v>
      </c>
      <c r="H63" s="2">
        <f>('Portfolio details  '!G19+'Portfolio details  '!H19)/2</f>
        <v>6641367.1875</v>
      </c>
      <c r="I63" s="2">
        <f>('Portfolio details  '!H19+'Portfolio details  '!I19)/2</f>
        <v>9962050.78125</v>
      </c>
      <c r="J63" s="2">
        <f>('Portfolio details  '!E19+'Portfolio details  '!J19)/2</f>
        <v>7157917.96875</v>
      </c>
    </row>
    <row r="80" hidden="1"/>
  </sheetData>
  <mergeCells count="14">
    <mergeCell ref="J3:J5"/>
    <mergeCell ref="L3:L5"/>
    <mergeCell ref="M3:M5"/>
    <mergeCell ref="N3:N5"/>
    <mergeCell ref="C2:J2"/>
    <mergeCell ref="L2:N2"/>
    <mergeCell ref="G3:G4"/>
    <mergeCell ref="H3:H4"/>
    <mergeCell ref="I3:I4"/>
    <mergeCell ref="B3:B5"/>
    <mergeCell ref="C3:C5"/>
    <mergeCell ref="D3:D5"/>
    <mergeCell ref="E3:E5"/>
    <mergeCell ref="F3:F4"/>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1"/>
  <sheetViews>
    <sheetView topLeftCell="D14" zoomScaleNormal="100" workbookViewId="0">
      <selection sqref="A1:I29"/>
    </sheetView>
  </sheetViews>
  <sheetFormatPr defaultRowHeight="15.75"/>
  <cols>
    <col min="1" max="1" width="34.28515625" customWidth="1"/>
    <col min="2" max="2" width="38.42578125" customWidth="1"/>
    <col min="3" max="3" width="44.85546875" customWidth="1"/>
    <col min="4" max="5" width="17.28515625" customWidth="1"/>
    <col min="6" max="6" width="16.42578125" customWidth="1"/>
    <col min="7" max="7" width="14.7109375" style="553" customWidth="1"/>
    <col min="8" max="8" width="16.28515625" style="504" customWidth="1"/>
    <col min="9" max="9" width="29.28515625" style="558" customWidth="1"/>
    <col min="12" max="12" width="21" style="570" hidden="1" customWidth="1"/>
    <col min="13" max="13" width="17.85546875" style="570" customWidth="1"/>
    <col min="14" max="14" width="9.140625" style="573" customWidth="1"/>
    <col min="15" max="16" width="9.140625" style="569" customWidth="1"/>
    <col min="17" max="26" width="9.140625" customWidth="1"/>
  </cols>
  <sheetData>
    <row r="1" spans="1:15" ht="15">
      <c r="B1" s="170"/>
      <c r="C1" s="170"/>
      <c r="D1" s="171"/>
      <c r="E1" s="171"/>
      <c r="F1" s="171"/>
      <c r="G1" s="552"/>
      <c r="H1" s="171"/>
      <c r="I1" s="552"/>
      <c r="N1" s="573">
        <v>0.5</v>
      </c>
    </row>
    <row r="2" spans="1:15" ht="15">
      <c r="G2"/>
      <c r="H2"/>
      <c r="I2"/>
    </row>
    <row r="6" spans="1:15" ht="18.75">
      <c r="A6" s="311" t="s">
        <v>495</v>
      </c>
      <c r="B6" s="311"/>
      <c r="C6" s="311"/>
      <c r="D6" s="311" t="s">
        <v>686</v>
      </c>
      <c r="E6" s="311" t="s">
        <v>511</v>
      </c>
      <c r="F6" s="311" t="s">
        <v>687</v>
      </c>
      <c r="G6" s="797" t="s">
        <v>734</v>
      </c>
      <c r="H6" s="797"/>
      <c r="I6" s="556" t="s">
        <v>691</v>
      </c>
      <c r="M6" s="574" t="s">
        <v>691</v>
      </c>
      <c r="N6" s="574" t="s">
        <v>535</v>
      </c>
    </row>
    <row r="7" spans="1:15" ht="31.5">
      <c r="A7" s="507" t="s">
        <v>696</v>
      </c>
      <c r="B7" s="507"/>
      <c r="C7" s="312"/>
      <c r="D7" s="312"/>
      <c r="E7" s="312"/>
      <c r="F7" s="312"/>
      <c r="G7" s="506" t="s">
        <v>536</v>
      </c>
      <c r="H7" s="505" t="s">
        <v>535</v>
      </c>
      <c r="I7" s="557"/>
      <c r="L7" s="571" t="s">
        <v>696</v>
      </c>
      <c r="M7" s="575">
        <f t="shared" ref="M7:M9" si="0">I26</f>
        <v>0.23162523342670402</v>
      </c>
      <c r="N7" s="573">
        <v>0.5</v>
      </c>
    </row>
    <row r="8" spans="1:15" ht="31.5">
      <c r="B8" s="493" t="s">
        <v>436</v>
      </c>
      <c r="C8" s="494"/>
      <c r="D8" s="494"/>
      <c r="E8" s="493"/>
      <c r="F8" s="599"/>
      <c r="G8" s="602"/>
      <c r="H8" s="603"/>
      <c r="I8" s="604"/>
      <c r="L8" s="571" t="s">
        <v>683</v>
      </c>
      <c r="M8" s="575">
        <f t="shared" si="0"/>
        <v>0.12916666666666668</v>
      </c>
      <c r="N8" s="573">
        <v>0.25</v>
      </c>
    </row>
    <row r="9" spans="1:15">
      <c r="C9" s="459" t="s">
        <v>523</v>
      </c>
      <c r="D9" s="543">
        <f>AVERAGE('Ratios '!C15:E15)</f>
        <v>1.2191199725569075E-2</v>
      </c>
      <c r="E9" s="598">
        <v>0.15</v>
      </c>
      <c r="F9" s="600">
        <f>D9/E9</f>
        <v>8.127466483712717E-2</v>
      </c>
      <c r="G9" s="602">
        <v>0.15</v>
      </c>
      <c r="H9" s="605"/>
      <c r="I9" s="606">
        <v>0.15</v>
      </c>
      <c r="L9" s="572" t="s">
        <v>512</v>
      </c>
      <c r="M9" s="575">
        <f t="shared" si="0"/>
        <v>0.11865284974093264</v>
      </c>
      <c r="N9" s="573">
        <v>0.25</v>
      </c>
    </row>
    <row r="10" spans="1:15">
      <c r="C10" s="459" t="s">
        <v>525</v>
      </c>
      <c r="D10" s="543">
        <f>AVERAGE('Ratios '!C28:E28)</f>
        <v>0.45</v>
      </c>
      <c r="E10" s="598">
        <v>0.8</v>
      </c>
      <c r="F10" s="600">
        <f>D10/E10</f>
        <v>0.5625</v>
      </c>
      <c r="G10" s="602">
        <v>0.1</v>
      </c>
      <c r="H10" s="603"/>
      <c r="I10" s="606">
        <f>F10*G10</f>
        <v>5.6250000000000001E-2</v>
      </c>
      <c r="M10" s="576">
        <f>SUM(M7:M9)</f>
        <v>0.47944474983430335</v>
      </c>
      <c r="N10" s="576">
        <f>SUM(N7:N9)</f>
        <v>1</v>
      </c>
    </row>
    <row r="11" spans="1:15">
      <c r="B11" s="493" t="s">
        <v>448</v>
      </c>
      <c r="C11" s="493"/>
      <c r="D11" s="494"/>
      <c r="E11" s="493"/>
      <c r="F11" s="599"/>
      <c r="G11" s="602"/>
      <c r="H11" s="605"/>
      <c r="I11" s="606"/>
    </row>
    <row r="12" spans="1:15">
      <c r="C12" s="459" t="s">
        <v>514</v>
      </c>
      <c r="D12" s="543">
        <f>AVERAGE('Ratios '!C30:E30)</f>
        <v>2.3333333333333334E-2</v>
      </c>
      <c r="E12" s="598">
        <v>0.1</v>
      </c>
      <c r="F12" s="600">
        <f t="shared" ref="F12:F15" si="1">D12/E12</f>
        <v>0.23333333333333334</v>
      </c>
      <c r="G12" s="602">
        <v>0.05</v>
      </c>
      <c r="H12" s="605"/>
      <c r="I12" s="606">
        <f>F12*G12</f>
        <v>1.1666666666666667E-2</v>
      </c>
    </row>
    <row r="13" spans="1:15">
      <c r="C13" s="459" t="s">
        <v>513</v>
      </c>
      <c r="D13" s="543">
        <f>AVERAGE('Ratios '!C31:E31)</f>
        <v>5.3333333333333337E-2</v>
      </c>
      <c r="E13" s="598">
        <v>0.14000000000000001</v>
      </c>
      <c r="F13" s="600">
        <f t="shared" si="1"/>
        <v>0.38095238095238093</v>
      </c>
      <c r="G13" s="602">
        <v>0.1</v>
      </c>
      <c r="H13" s="605"/>
      <c r="I13" s="606">
        <f t="shared" ref="I13:I24" si="2">F13*G13</f>
        <v>3.8095238095238099E-2</v>
      </c>
    </row>
    <row r="14" spans="1:15">
      <c r="C14" s="459" t="s">
        <v>450</v>
      </c>
      <c r="D14" s="543">
        <f>AVERAGE('Ratios '!C33:E33)</f>
        <v>0.99333333333333329</v>
      </c>
      <c r="E14" s="598">
        <v>1.2</v>
      </c>
      <c r="F14" s="600">
        <f t="shared" si="1"/>
        <v>0.82777777777777772</v>
      </c>
      <c r="G14" s="602">
        <v>0.05</v>
      </c>
      <c r="H14" s="605"/>
      <c r="I14" s="606">
        <f t="shared" si="2"/>
        <v>4.1388888888888892E-2</v>
      </c>
      <c r="L14" s="571" t="s">
        <v>436</v>
      </c>
      <c r="M14" s="576">
        <f>I9+I10</f>
        <v>0.20624999999999999</v>
      </c>
      <c r="N14" s="573">
        <f>G9+G10</f>
        <v>0.25</v>
      </c>
      <c r="O14" s="569" t="s">
        <v>726</v>
      </c>
    </row>
    <row r="15" spans="1:15" ht="31.5">
      <c r="C15" s="459" t="s">
        <v>318</v>
      </c>
      <c r="D15" s="543">
        <f>AVERAGE('Ratios '!C34:E34)</f>
        <v>0.22333333333333336</v>
      </c>
      <c r="E15" s="598">
        <v>0.3</v>
      </c>
      <c r="F15" s="600">
        <f t="shared" si="1"/>
        <v>0.74444444444444458</v>
      </c>
      <c r="G15" s="602">
        <v>0.05</v>
      </c>
      <c r="H15" s="605"/>
      <c r="I15" s="606">
        <f t="shared" si="2"/>
        <v>3.7222222222222233E-2</v>
      </c>
      <c r="L15" s="571" t="s">
        <v>448</v>
      </c>
      <c r="M15" s="576">
        <f>I12+I13+I14+I15</f>
        <v>0.12837301587301589</v>
      </c>
      <c r="N15" s="573">
        <f>SUM(G12:G15)</f>
        <v>0.25</v>
      </c>
    </row>
    <row r="16" spans="1:15">
      <c r="B16" s="495" t="s">
        <v>441</v>
      </c>
      <c r="C16" s="461"/>
      <c r="D16" s="461"/>
      <c r="E16" s="460"/>
      <c r="F16" s="601"/>
      <c r="G16" s="602"/>
      <c r="H16" s="603"/>
      <c r="I16" s="606"/>
      <c r="L16" s="572" t="s">
        <v>441</v>
      </c>
      <c r="M16" s="576">
        <f>I17+I18</f>
        <v>0</v>
      </c>
      <c r="N16" s="573">
        <f>G17+G18</f>
        <v>0.25</v>
      </c>
    </row>
    <row r="17" spans="1:14" ht="47.25">
      <c r="C17" s="459" t="s">
        <v>682</v>
      </c>
      <c r="D17" s="543">
        <f>AVERAGE('Ratios '!C38:E38)</f>
        <v>0.13333333333333333</v>
      </c>
      <c r="E17" s="598">
        <v>0.05</v>
      </c>
      <c r="F17" s="600">
        <f t="shared" ref="F17:F18" si="3">D17/E17</f>
        <v>2.6666666666666665</v>
      </c>
      <c r="G17" s="602">
        <v>0.15</v>
      </c>
      <c r="H17" s="605"/>
      <c r="I17" s="606">
        <v>0</v>
      </c>
      <c r="L17" s="571" t="s">
        <v>437</v>
      </c>
      <c r="M17" s="577">
        <f>I20+I21</f>
        <v>3.0000000000000006E-2</v>
      </c>
      <c r="N17" s="573">
        <f>G20+G21</f>
        <v>0.1</v>
      </c>
    </row>
    <row r="18" spans="1:14" ht="31.5">
      <c r="C18" s="459" t="s">
        <v>681</v>
      </c>
      <c r="D18" s="543">
        <f>AVERAGE('Ratios '!C39:E39)</f>
        <v>7.6666666666666675E-2</v>
      </c>
      <c r="E18" s="598">
        <v>0.02</v>
      </c>
      <c r="F18" s="600">
        <f t="shared" si="3"/>
        <v>3.8333333333333335</v>
      </c>
      <c r="G18" s="602">
        <v>0.1</v>
      </c>
      <c r="H18" s="605"/>
      <c r="I18" s="606">
        <v>0</v>
      </c>
      <c r="L18" s="571" t="s">
        <v>446</v>
      </c>
      <c r="M18" s="576">
        <f>I23+I24</f>
        <v>9.8627450980392162E-2</v>
      </c>
      <c r="N18" s="573">
        <f>G23+G24</f>
        <v>0.15000000000000002</v>
      </c>
    </row>
    <row r="19" spans="1:14">
      <c r="B19" s="493" t="s">
        <v>437</v>
      </c>
      <c r="C19" s="461"/>
      <c r="D19" s="461"/>
      <c r="E19" s="460"/>
      <c r="F19" s="601"/>
      <c r="G19" s="602"/>
      <c r="H19" s="603"/>
      <c r="I19" s="606"/>
      <c r="M19" s="573">
        <f>SUM(M14:M18)</f>
        <v>0.46325046685340809</v>
      </c>
      <c r="N19" s="573">
        <f>SUM(N14:N18)</f>
        <v>1</v>
      </c>
    </row>
    <row r="20" spans="1:14">
      <c r="C20" s="459" t="s">
        <v>435</v>
      </c>
      <c r="D20" s="543">
        <f>AVERAGE('Ratios '!C44:E44)</f>
        <v>0.36000000000000004</v>
      </c>
      <c r="E20" s="598">
        <v>0.6</v>
      </c>
      <c r="F20" s="600">
        <f t="shared" ref="F20:F21" si="4">D20/E20</f>
        <v>0.60000000000000009</v>
      </c>
      <c r="G20" s="602">
        <v>0.05</v>
      </c>
      <c r="H20" s="605"/>
      <c r="I20" s="606">
        <f t="shared" si="2"/>
        <v>3.0000000000000006E-2</v>
      </c>
    </row>
    <row r="21" spans="1:14">
      <c r="C21" s="459" t="s">
        <v>438</v>
      </c>
      <c r="D21" s="543">
        <f>AVERAGE('Ratios '!C45:E45)</f>
        <v>0.27</v>
      </c>
      <c r="E21" s="598">
        <v>0.1</v>
      </c>
      <c r="F21" s="600">
        <f t="shared" si="4"/>
        <v>2.7</v>
      </c>
      <c r="G21" s="602">
        <v>0.05</v>
      </c>
      <c r="H21" s="605"/>
      <c r="I21" s="606">
        <v>0</v>
      </c>
    </row>
    <row r="22" spans="1:14">
      <c r="B22" s="493" t="s">
        <v>446</v>
      </c>
      <c r="C22" s="461"/>
      <c r="D22" s="461"/>
      <c r="E22" s="460"/>
      <c r="F22" s="601"/>
      <c r="G22" s="602"/>
      <c r="H22" s="603"/>
      <c r="I22" s="606"/>
    </row>
    <row r="23" spans="1:14">
      <c r="C23" s="459" t="s">
        <v>447</v>
      </c>
      <c r="D23" s="543">
        <f>AVERAGE('Ratios '!C50:E50)</f>
        <v>0.6</v>
      </c>
      <c r="E23" s="598">
        <v>0.85</v>
      </c>
      <c r="F23" s="600">
        <f t="shared" ref="F23:F24" si="5">D23/E23</f>
        <v>0.70588235294117652</v>
      </c>
      <c r="G23" s="602">
        <v>0.05</v>
      </c>
      <c r="H23" s="605"/>
      <c r="I23" s="606">
        <f t="shared" si="2"/>
        <v>3.529411764705883E-2</v>
      </c>
    </row>
    <row r="24" spans="1:14">
      <c r="C24" s="459" t="s">
        <v>515</v>
      </c>
      <c r="D24" s="543">
        <f>AVERAGE('Ratios '!C52:E52)</f>
        <v>0.31666666666666665</v>
      </c>
      <c r="E24" s="598">
        <v>0.5</v>
      </c>
      <c r="F24" s="600">
        <f t="shared" si="5"/>
        <v>0.6333333333333333</v>
      </c>
      <c r="G24" s="602">
        <v>0.1</v>
      </c>
      <c r="H24" s="605"/>
      <c r="I24" s="606">
        <f t="shared" si="2"/>
        <v>6.3333333333333339E-2</v>
      </c>
    </row>
    <row r="25" spans="1:14">
      <c r="C25" s="554"/>
      <c r="D25" s="554"/>
      <c r="E25" s="554"/>
      <c r="F25" s="554"/>
      <c r="G25" s="602"/>
      <c r="H25" s="605"/>
      <c r="I25" s="602">
        <f>SUM(I9:I24)</f>
        <v>0.46325046685340804</v>
      </c>
    </row>
    <row r="26" spans="1:14" ht="15" hidden="1" customHeight="1">
      <c r="C26" s="554"/>
      <c r="D26" s="554"/>
      <c r="E26" s="554"/>
      <c r="F26" s="554"/>
      <c r="G26" s="602">
        <f>SUM(G8:G25)</f>
        <v>1.0000000000000002</v>
      </c>
      <c r="H26" s="603">
        <v>0.5</v>
      </c>
      <c r="I26" s="606">
        <f>I25*H26</f>
        <v>0.23162523342670402</v>
      </c>
    </row>
    <row r="27" spans="1:14">
      <c r="A27" s="507" t="s">
        <v>683</v>
      </c>
      <c r="B27" s="507"/>
      <c r="C27" s="459"/>
      <c r="D27" s="792">
        <f>'Qualitative assessment'!D72</f>
        <v>0.51666666666666672</v>
      </c>
      <c r="E27" s="792"/>
      <c r="F27" s="793"/>
      <c r="G27" s="602"/>
      <c r="H27" s="602">
        <v>0.25</v>
      </c>
      <c r="I27" s="606">
        <f>D27*H27</f>
        <v>0.12916666666666668</v>
      </c>
    </row>
    <row r="28" spans="1:14">
      <c r="A28" s="460" t="s">
        <v>512</v>
      </c>
      <c r="B28" s="460"/>
      <c r="C28" s="459"/>
      <c r="D28" s="794">
        <f>'Risk Assessment'!D245</f>
        <v>0.47461139896373056</v>
      </c>
      <c r="E28" s="795"/>
      <c r="F28" s="796"/>
      <c r="G28" s="602"/>
      <c r="H28" s="602">
        <v>0.25</v>
      </c>
      <c r="I28" s="606">
        <f t="shared" ref="I28" si="6">D28*H28</f>
        <v>0.11865284974093264</v>
      </c>
    </row>
    <row r="29" spans="1:14">
      <c r="A29" s="460"/>
      <c r="B29" s="460"/>
      <c r="C29" s="459"/>
      <c r="D29" s="794"/>
      <c r="E29" s="795"/>
      <c r="F29" s="796"/>
      <c r="G29" s="602"/>
      <c r="H29" s="606">
        <f>SUM(H26:H28)</f>
        <v>1</v>
      </c>
      <c r="I29" s="606">
        <f>SUM(I26:I28)</f>
        <v>0.47944474983430335</v>
      </c>
    </row>
    <row r="31" spans="1:14">
      <c r="A31" s="563"/>
    </row>
  </sheetData>
  <mergeCells count="4">
    <mergeCell ref="D27:F27"/>
    <mergeCell ref="D28:F28"/>
    <mergeCell ref="D29:F29"/>
    <mergeCell ref="G6:H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S10"/>
  <sheetViews>
    <sheetView topLeftCell="A24" zoomScale="70" zoomScaleNormal="70" workbookViewId="0">
      <selection sqref="A1:M45"/>
    </sheetView>
  </sheetViews>
  <sheetFormatPr defaultColWidth="11.42578125" defaultRowHeight="15" outlineLevelCol="1"/>
  <cols>
    <col min="1" max="1" width="2.5703125" style="168" customWidth="1"/>
    <col min="2" max="2" width="44.140625" style="196" customWidth="1"/>
    <col min="3" max="3" width="22.140625" style="196" customWidth="1"/>
    <col min="4" max="4" width="20.5703125" style="179" customWidth="1"/>
    <col min="5" max="5" width="17.5703125" style="179" customWidth="1"/>
    <col min="6" max="6" width="16.5703125" style="179" customWidth="1"/>
    <col min="7" max="7" width="17.42578125" style="179" customWidth="1"/>
    <col min="8" max="8" width="16.140625" style="179" customWidth="1"/>
    <col min="9" max="9" width="17.140625" style="179" customWidth="1"/>
    <col min="10" max="10" width="18.42578125" style="179" customWidth="1"/>
    <col min="11" max="11" width="18.42578125" style="174" customWidth="1"/>
    <col min="12" max="12" width="30" style="180" customWidth="1"/>
    <col min="13" max="13" width="43.140625" style="181" hidden="1" customWidth="1" outlineLevel="1"/>
    <col min="14" max="15" width="15.5703125" style="179" hidden="1" customWidth="1" outlineLevel="1"/>
    <col min="16" max="16" width="14.42578125" style="179" hidden="1" customWidth="1" outlineLevel="1"/>
    <col min="17" max="17" width="15.5703125" style="207" hidden="1" customWidth="1" outlineLevel="1"/>
    <col min="18" max="18" width="14.42578125" style="179" hidden="1" customWidth="1" outlineLevel="1"/>
    <col min="19" max="19" width="12.42578125" style="182" bestFit="1" customWidth="1" collapsed="1"/>
    <col min="20" max="16384" width="11.42578125" style="182"/>
  </cols>
  <sheetData>
    <row r="1" spans="1:18" s="168" customFormat="1" ht="73.5" customHeight="1">
      <c r="B1" s="170"/>
      <c r="C1" s="170"/>
      <c r="D1" s="171"/>
      <c r="E1" s="171"/>
      <c r="F1" s="171"/>
      <c r="G1" s="171"/>
      <c r="H1" s="171"/>
      <c r="I1" s="171"/>
      <c r="J1" s="171"/>
      <c r="K1" s="171"/>
      <c r="L1" s="172"/>
      <c r="M1" s="173"/>
      <c r="N1" s="174"/>
      <c r="O1" s="174"/>
      <c r="P1" s="174"/>
      <c r="Q1" s="175"/>
      <c r="R1" s="174"/>
    </row>
    <row r="2" spans="1:18" s="177" customFormat="1" ht="36.75" customHeight="1">
      <c r="A2" s="169"/>
      <c r="B2" s="687" t="s">
        <v>740</v>
      </c>
      <c r="C2" s="687"/>
      <c r="D2" s="687"/>
      <c r="E2" s="687"/>
      <c r="F2" s="687"/>
      <c r="G2" s="687"/>
      <c r="H2" s="687"/>
      <c r="I2" s="687"/>
      <c r="J2" s="687"/>
      <c r="K2" s="687"/>
      <c r="L2" s="687"/>
      <c r="M2" s="687"/>
      <c r="N2" s="176"/>
      <c r="O2" s="176"/>
      <c r="P2" s="176"/>
      <c r="Q2" s="176"/>
      <c r="R2" s="176"/>
    </row>
    <row r="3" spans="1:18" ht="18.75">
      <c r="A3" s="167"/>
      <c r="B3" s="338"/>
      <c r="C3" s="178"/>
      <c r="D3" s="174"/>
      <c r="N3" s="177"/>
      <c r="O3" s="177"/>
      <c r="P3" s="177"/>
      <c r="Q3" s="177"/>
      <c r="R3" s="177"/>
    </row>
    <row r="4" spans="1:18" ht="25.15" customHeight="1">
      <c r="C4" s="208"/>
      <c r="D4" s="208"/>
      <c r="E4" s="208"/>
      <c r="F4" s="208"/>
      <c r="G4" s="208"/>
      <c r="H4" s="208"/>
      <c r="I4" s="208"/>
      <c r="J4" s="208"/>
      <c r="K4" s="208"/>
    </row>
    <row r="5" spans="1:18">
      <c r="J5" s="209"/>
      <c r="K5" s="210"/>
    </row>
    <row r="6" spans="1:18" ht="20.100000000000001" customHeight="1"/>
    <row r="7" spans="1:18" ht="20.100000000000001" customHeight="1"/>
    <row r="8" spans="1:18" ht="20.100000000000001" customHeight="1">
      <c r="B8" s="182"/>
      <c r="C8" s="182"/>
      <c r="D8" s="182"/>
      <c r="E8" s="182"/>
      <c r="F8" s="182"/>
      <c r="G8" s="182"/>
      <c r="H8" s="182"/>
      <c r="I8" s="182"/>
      <c r="J8" s="182"/>
      <c r="K8" s="168"/>
    </row>
    <row r="9" spans="1:18" ht="20.100000000000001" customHeight="1">
      <c r="B9" s="182"/>
      <c r="C9" s="182"/>
      <c r="D9" s="182"/>
      <c r="E9" s="182"/>
      <c r="F9" s="182"/>
      <c r="G9" s="182"/>
      <c r="H9" s="182"/>
      <c r="I9" s="182"/>
      <c r="J9" s="182"/>
      <c r="K9" s="168"/>
    </row>
    <row r="10" spans="1:18">
      <c r="B10" s="182"/>
      <c r="C10" s="182"/>
      <c r="D10" s="182"/>
      <c r="E10" s="182"/>
      <c r="F10" s="182"/>
      <c r="G10" s="182"/>
      <c r="H10" s="182"/>
      <c r="I10" s="182"/>
      <c r="J10" s="182"/>
      <c r="K10" s="168"/>
    </row>
  </sheetData>
  <mergeCells count="1">
    <mergeCell ref="B2:M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6:G48"/>
  <sheetViews>
    <sheetView zoomScale="70" zoomScaleNormal="70" workbookViewId="0">
      <selection activeCell="G1" sqref="A1:G30"/>
    </sheetView>
  </sheetViews>
  <sheetFormatPr defaultRowHeight="15"/>
  <cols>
    <col min="1" max="1" width="20.28515625" style="457" customWidth="1"/>
    <col min="2" max="2" width="76.7109375" style="457" customWidth="1"/>
    <col min="3" max="7" width="19.28515625" customWidth="1"/>
  </cols>
  <sheetData>
    <row r="6" spans="1:7" ht="18.75">
      <c r="A6" s="310"/>
      <c r="B6" s="311"/>
      <c r="C6" s="311"/>
      <c r="D6" s="311"/>
      <c r="E6" s="311"/>
      <c r="F6" s="311"/>
      <c r="G6" s="311"/>
    </row>
    <row r="7" spans="1:7" ht="32.25" customHeight="1">
      <c r="A7" s="610" t="s">
        <v>468</v>
      </c>
      <c r="B7" s="607"/>
      <c r="C7" s="611" t="s">
        <v>489</v>
      </c>
      <c r="D7" s="611" t="s">
        <v>490</v>
      </c>
      <c r="E7" s="611" t="s">
        <v>491</v>
      </c>
      <c r="F7" s="611" t="s">
        <v>492</v>
      </c>
      <c r="G7" s="611" t="s">
        <v>493</v>
      </c>
    </row>
    <row r="8" spans="1:7" ht="27.75" customHeight="1">
      <c r="A8" s="486"/>
      <c r="B8" s="608" t="s">
        <v>478</v>
      </c>
      <c r="C8" s="608"/>
      <c r="D8" s="608"/>
      <c r="E8" s="608"/>
      <c r="F8" s="608"/>
      <c r="G8" s="608"/>
    </row>
    <row r="9" spans="1:7" ht="27.75" customHeight="1">
      <c r="A9" s="486"/>
      <c r="B9" s="608" t="s">
        <v>469</v>
      </c>
      <c r="C9" s="608"/>
      <c r="D9" s="608"/>
      <c r="E9" s="608"/>
      <c r="F9" s="608"/>
      <c r="G9" s="608"/>
    </row>
    <row r="10" spans="1:7" ht="27.75" customHeight="1">
      <c r="A10" s="486"/>
      <c r="B10" s="608" t="s">
        <v>467</v>
      </c>
      <c r="C10" s="608"/>
      <c r="D10" s="608"/>
      <c r="E10" s="608"/>
      <c r="F10" s="608"/>
      <c r="G10" s="608"/>
    </row>
    <row r="11" spans="1:7" ht="27.75" customHeight="1">
      <c r="A11" s="486"/>
      <c r="B11" s="608" t="s">
        <v>527</v>
      </c>
      <c r="C11" s="608"/>
      <c r="D11" s="608"/>
      <c r="E11" s="608"/>
      <c r="F11" s="608"/>
      <c r="G11" s="608"/>
    </row>
    <row r="12" spans="1:7" ht="27.75" customHeight="1">
      <c r="A12" s="486"/>
      <c r="B12" s="608" t="s">
        <v>479</v>
      </c>
      <c r="C12" s="608"/>
      <c r="D12" s="608"/>
      <c r="E12" s="608"/>
      <c r="F12" s="608"/>
      <c r="G12" s="608"/>
    </row>
    <row r="13" spans="1:7" ht="27.75" customHeight="1">
      <c r="A13" s="486"/>
      <c r="B13" s="608" t="s">
        <v>480</v>
      </c>
      <c r="C13" s="608"/>
      <c r="D13" s="608"/>
      <c r="E13" s="608"/>
      <c r="F13" s="608"/>
      <c r="G13" s="608"/>
    </row>
    <row r="14" spans="1:7" ht="27.75" customHeight="1">
      <c r="A14" s="486"/>
      <c r="B14" s="608" t="s">
        <v>481</v>
      </c>
      <c r="C14" s="608"/>
      <c r="D14" s="608"/>
      <c r="E14" s="608"/>
      <c r="F14" s="608"/>
      <c r="G14" s="608"/>
    </row>
    <row r="15" spans="1:7" ht="27.75" customHeight="1">
      <c r="A15" s="486"/>
      <c r="B15" s="608" t="s">
        <v>482</v>
      </c>
      <c r="C15" s="608"/>
      <c r="D15" s="608"/>
      <c r="E15" s="608"/>
      <c r="F15" s="608"/>
      <c r="G15" s="608"/>
    </row>
    <row r="16" spans="1:7" ht="27.75" customHeight="1">
      <c r="A16" s="486"/>
      <c r="B16" s="608" t="s">
        <v>483</v>
      </c>
      <c r="C16" s="608"/>
      <c r="D16" s="608"/>
      <c r="E16" s="608"/>
      <c r="F16" s="608"/>
      <c r="G16" s="608"/>
    </row>
    <row r="17" spans="1:7" ht="18.75" hidden="1">
      <c r="A17" s="486"/>
      <c r="B17" s="608"/>
      <c r="C17" s="608"/>
      <c r="D17" s="608"/>
      <c r="E17" s="608"/>
      <c r="F17" s="608"/>
      <c r="G17" s="608"/>
    </row>
    <row r="18" spans="1:7" ht="27.75" hidden="1" customHeight="1">
      <c r="A18" s="486"/>
      <c r="B18" s="609"/>
      <c r="C18" s="608"/>
      <c r="D18" s="608"/>
      <c r="E18" s="608"/>
      <c r="F18" s="608"/>
      <c r="G18" s="608"/>
    </row>
    <row r="19" spans="1:7" ht="32.25" customHeight="1">
      <c r="A19" s="610" t="s">
        <v>430</v>
      </c>
      <c r="B19" s="312"/>
      <c r="C19" s="312"/>
      <c r="D19" s="312"/>
      <c r="E19" s="312"/>
      <c r="F19" s="312"/>
      <c r="G19" s="312"/>
    </row>
    <row r="20" spans="1:7" ht="32.25" customHeight="1">
      <c r="A20" s="486"/>
      <c r="B20" s="587" t="s">
        <v>465</v>
      </c>
      <c r="C20" s="608"/>
      <c r="D20" s="608"/>
      <c r="E20" s="608"/>
      <c r="F20" s="608"/>
      <c r="G20" s="608"/>
    </row>
    <row r="21" spans="1:7" ht="24.6" customHeight="1">
      <c r="A21" s="486"/>
      <c r="B21" s="587" t="s">
        <v>470</v>
      </c>
      <c r="C21" s="608"/>
      <c r="D21" s="608"/>
      <c r="E21" s="608"/>
      <c r="F21" s="608"/>
      <c r="G21" s="608"/>
    </row>
    <row r="22" spans="1:7" ht="32.25" customHeight="1">
      <c r="A22" s="486"/>
      <c r="B22" s="587" t="s">
        <v>431</v>
      </c>
      <c r="C22" s="608"/>
      <c r="D22" s="608"/>
      <c r="E22" s="608"/>
      <c r="F22" s="608"/>
      <c r="G22" s="608"/>
    </row>
    <row r="23" spans="1:7" ht="31.5">
      <c r="A23" s="486"/>
      <c r="B23" s="587" t="s">
        <v>528</v>
      </c>
      <c r="C23" s="608"/>
      <c r="D23" s="608"/>
      <c r="E23" s="608"/>
      <c r="F23" s="608"/>
      <c r="G23" s="608"/>
    </row>
    <row r="24" spans="1:7" ht="25.9" customHeight="1">
      <c r="A24" s="486"/>
      <c r="B24" s="587" t="s">
        <v>466</v>
      </c>
      <c r="C24" s="608"/>
      <c r="D24" s="608"/>
      <c r="E24" s="608"/>
      <c r="F24" s="608"/>
      <c r="G24" s="608"/>
    </row>
    <row r="25" spans="1:7" ht="27" customHeight="1">
      <c r="A25" s="486"/>
      <c r="B25" s="587" t="s">
        <v>467</v>
      </c>
      <c r="C25" s="608"/>
      <c r="D25" s="608"/>
      <c r="E25" s="608"/>
      <c r="F25" s="608"/>
      <c r="G25" s="608"/>
    </row>
    <row r="26" spans="1:7" ht="18.75" hidden="1">
      <c r="A26" s="486"/>
      <c r="B26" s="587"/>
      <c r="C26" s="608"/>
      <c r="D26" s="608"/>
      <c r="E26" s="608"/>
      <c r="F26" s="608"/>
      <c r="G26" s="608"/>
    </row>
    <row r="27" spans="1:7" ht="18.75" hidden="1">
      <c r="A27" s="486"/>
      <c r="B27" s="486"/>
      <c r="C27" s="608"/>
      <c r="D27" s="608"/>
      <c r="E27" s="608"/>
      <c r="F27" s="608"/>
      <c r="G27" s="608"/>
    </row>
    <row r="28" spans="1:7" ht="37.5">
      <c r="A28" s="610" t="s">
        <v>537</v>
      </c>
      <c r="B28" s="458"/>
      <c r="C28" s="312"/>
      <c r="D28" s="312"/>
      <c r="E28" s="312"/>
      <c r="F28" s="312"/>
      <c r="G28" s="312"/>
    </row>
    <row r="29" spans="1:7" ht="18.75">
      <c r="A29" s="486"/>
      <c r="B29" s="587" t="s">
        <v>471</v>
      </c>
      <c r="C29" s="608"/>
      <c r="D29" s="608"/>
      <c r="E29" s="608"/>
      <c r="F29" s="608"/>
      <c r="G29" s="608"/>
    </row>
    <row r="30" spans="1:7" ht="18.75">
      <c r="A30" s="486"/>
      <c r="B30" s="587" t="s">
        <v>464</v>
      </c>
      <c r="C30" s="608"/>
      <c r="D30" s="608"/>
      <c r="E30" s="608"/>
      <c r="F30" s="608"/>
      <c r="G30" s="608"/>
    </row>
    <row r="31" spans="1:7" ht="18.75">
      <c r="A31" s="486"/>
      <c r="B31" s="587" t="s">
        <v>472</v>
      </c>
      <c r="C31" s="608"/>
      <c r="D31" s="608"/>
      <c r="E31" s="608"/>
      <c r="F31" s="608"/>
      <c r="G31" s="608"/>
    </row>
    <row r="32" spans="1:7" ht="18.75">
      <c r="A32" s="486"/>
      <c r="B32" s="587" t="s">
        <v>473</v>
      </c>
      <c r="C32" s="608"/>
      <c r="D32" s="608"/>
      <c r="E32" s="608"/>
      <c r="F32" s="608"/>
      <c r="G32" s="608"/>
    </row>
    <row r="33" spans="1:7" ht="18.75">
      <c r="A33" s="486"/>
      <c r="B33" s="587" t="s">
        <v>474</v>
      </c>
      <c r="C33" s="608"/>
      <c r="D33" s="608"/>
      <c r="E33" s="608"/>
      <c r="F33" s="608"/>
      <c r="G33" s="608"/>
    </row>
    <row r="34" spans="1:7" ht="18.75">
      <c r="A34" s="486"/>
      <c r="B34" s="587" t="s">
        <v>475</v>
      </c>
      <c r="C34" s="608"/>
      <c r="D34" s="608"/>
      <c r="E34" s="608"/>
      <c r="F34" s="608"/>
      <c r="G34" s="608"/>
    </row>
    <row r="35" spans="1:7" ht="18.75">
      <c r="A35" s="486"/>
      <c r="B35" s="587" t="s">
        <v>476</v>
      </c>
      <c r="C35" s="608"/>
      <c r="D35" s="608"/>
      <c r="E35" s="608"/>
      <c r="F35" s="608"/>
      <c r="G35" s="608"/>
    </row>
    <row r="36" spans="1:7" ht="18.75">
      <c r="A36" s="486"/>
      <c r="B36" s="587" t="s">
        <v>477</v>
      </c>
      <c r="C36" s="608"/>
      <c r="D36" s="608"/>
      <c r="E36" s="608"/>
      <c r="F36" s="608"/>
      <c r="G36" s="608"/>
    </row>
    <row r="37" spans="1:7" ht="37.5">
      <c r="A37" s="610" t="s">
        <v>484</v>
      </c>
      <c r="B37" s="458"/>
      <c r="C37" s="312"/>
      <c r="D37" s="312"/>
      <c r="E37" s="312"/>
      <c r="F37" s="312"/>
      <c r="G37" s="312"/>
    </row>
    <row r="38" spans="1:7" ht="18.75">
      <c r="A38" s="486"/>
      <c r="B38" s="587" t="s">
        <v>485</v>
      </c>
      <c r="C38" s="608"/>
      <c r="D38" s="608"/>
      <c r="E38" s="608"/>
      <c r="F38" s="608"/>
      <c r="G38" s="608"/>
    </row>
    <row r="39" spans="1:7" ht="18.75">
      <c r="A39" s="486"/>
      <c r="B39" s="587" t="s">
        <v>486</v>
      </c>
      <c r="C39" s="608"/>
      <c r="D39" s="608"/>
      <c r="E39" s="608"/>
      <c r="F39" s="608"/>
      <c r="G39" s="608"/>
    </row>
    <row r="40" spans="1:7" ht="18.75">
      <c r="A40" s="486"/>
      <c r="B40" s="587" t="s">
        <v>700</v>
      </c>
      <c r="C40" s="608"/>
      <c r="D40" s="608"/>
      <c r="E40" s="608"/>
      <c r="F40" s="608"/>
      <c r="G40" s="608"/>
    </row>
    <row r="41" spans="1:7" ht="18.75">
      <c r="A41" s="486"/>
      <c r="B41" s="587" t="s">
        <v>487</v>
      </c>
      <c r="C41" s="608"/>
      <c r="D41" s="608"/>
      <c r="E41" s="608"/>
      <c r="F41" s="608"/>
      <c r="G41" s="608"/>
    </row>
    <row r="42" spans="1:7" ht="18.75">
      <c r="A42" s="486"/>
      <c r="B42" s="587" t="s">
        <v>311</v>
      </c>
      <c r="C42" s="608"/>
      <c r="D42" s="608"/>
      <c r="E42" s="608"/>
      <c r="F42" s="608"/>
      <c r="G42" s="608"/>
    </row>
    <row r="43" spans="1:7" ht="18.75">
      <c r="A43" s="486"/>
      <c r="B43" s="587" t="s">
        <v>488</v>
      </c>
      <c r="C43" s="608"/>
      <c r="D43" s="608"/>
      <c r="E43" s="608"/>
      <c r="F43" s="608"/>
      <c r="G43" s="608"/>
    </row>
    <row r="44" spans="1:7" ht="18.75">
      <c r="A44" s="486"/>
      <c r="B44" s="587" t="s">
        <v>701</v>
      </c>
      <c r="C44" s="608"/>
      <c r="D44" s="608"/>
      <c r="E44" s="608"/>
      <c r="F44" s="608"/>
      <c r="G44" s="608"/>
    </row>
    <row r="45" spans="1:7" ht="18.75" hidden="1">
      <c r="A45" s="492"/>
      <c r="B45" s="492"/>
      <c r="C45" s="608"/>
      <c r="D45" s="608"/>
      <c r="E45" s="608"/>
      <c r="F45" s="608"/>
      <c r="G45" s="608"/>
    </row>
    <row r="46" spans="1:7" ht="18.75">
      <c r="A46" s="486"/>
      <c r="B46" s="587" t="s">
        <v>529</v>
      </c>
      <c r="C46" s="608"/>
      <c r="D46" s="608"/>
      <c r="E46" s="608"/>
      <c r="F46" s="608"/>
      <c r="G46" s="608"/>
    </row>
    <row r="47" spans="1:7" ht="18.75">
      <c r="A47" s="486"/>
      <c r="B47" s="587" t="s">
        <v>702</v>
      </c>
      <c r="C47" s="608"/>
      <c r="D47" s="608"/>
      <c r="E47" s="608"/>
      <c r="F47" s="608"/>
      <c r="G47" s="608"/>
    </row>
    <row r="48" spans="1:7" ht="18.75" hidden="1">
      <c r="A48" s="486"/>
      <c r="B48" s="486"/>
      <c r="C48" s="608"/>
      <c r="D48" s="608"/>
      <c r="E48" s="608"/>
      <c r="F48" s="608"/>
      <c r="G48" s="60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dimension ref="A1:N43"/>
  <sheetViews>
    <sheetView workbookViewId="0">
      <selection activeCell="B19" sqref="B19"/>
    </sheetView>
  </sheetViews>
  <sheetFormatPr defaultColWidth="11.42578125" defaultRowHeight="15.75"/>
  <cols>
    <col min="1" max="1" width="21.42578125" style="309" customWidth="1"/>
    <col min="2" max="2" width="40" style="253" customWidth="1"/>
    <col min="3" max="3" width="125.5703125" style="303" customWidth="1"/>
    <col min="4" max="16384" width="11.42578125" style="1"/>
  </cols>
  <sheetData>
    <row r="1" spans="1:7" ht="79.5" customHeight="1"/>
    <row r="2" spans="1:7" ht="24.75" customHeight="1">
      <c r="A2" s="798" t="s">
        <v>376</v>
      </c>
      <c r="B2" s="798"/>
      <c r="C2" s="588" t="s">
        <v>697</v>
      </c>
    </row>
    <row r="3" spans="1:7" s="36" customFormat="1" ht="37.5" customHeight="1">
      <c r="A3" s="310"/>
      <c r="B3" s="311" t="s">
        <v>495</v>
      </c>
      <c r="C3" s="311" t="s">
        <v>342</v>
      </c>
      <c r="D3" s="265"/>
      <c r="E3" s="14"/>
      <c r="F3" s="14"/>
      <c r="G3" s="14"/>
    </row>
    <row r="4" spans="1:7" ht="32.25" customHeight="1">
      <c r="A4" s="635" t="s">
        <v>494</v>
      </c>
      <c r="B4" s="635"/>
      <c r="C4" s="635"/>
    </row>
    <row r="5" spans="1:7" ht="31.5" customHeight="1">
      <c r="A5" s="314"/>
      <c r="B5" s="312" t="s">
        <v>217</v>
      </c>
      <c r="C5" s="313" t="s">
        <v>355</v>
      </c>
    </row>
    <row r="6" spans="1:7" ht="31.5" customHeight="1">
      <c r="A6" s="314"/>
      <c r="B6" s="312" t="s">
        <v>356</v>
      </c>
      <c r="C6" s="313" t="s">
        <v>652</v>
      </c>
    </row>
    <row r="7" spans="1:7" ht="31.5" customHeight="1">
      <c r="A7" s="314"/>
      <c r="B7" s="312" t="s">
        <v>240</v>
      </c>
      <c r="C7" s="313" t="s">
        <v>653</v>
      </c>
    </row>
    <row r="8" spans="1:7" ht="31.5" customHeight="1">
      <c r="A8" s="314"/>
      <c r="B8" s="312" t="s">
        <v>241</v>
      </c>
      <c r="C8" s="313" t="s">
        <v>654</v>
      </c>
    </row>
    <row r="9" spans="1:7" ht="32.25" customHeight="1">
      <c r="A9" s="635" t="s">
        <v>357</v>
      </c>
      <c r="B9" s="635"/>
      <c r="C9" s="635"/>
    </row>
    <row r="10" spans="1:7" ht="46.5" customHeight="1">
      <c r="A10" s="314"/>
      <c r="B10" s="312" t="s">
        <v>250</v>
      </c>
      <c r="C10" s="313" t="s">
        <v>358</v>
      </c>
    </row>
    <row r="11" spans="1:7" ht="46.5" customHeight="1">
      <c r="A11" s="314"/>
      <c r="B11" s="312" t="s">
        <v>253</v>
      </c>
      <c r="C11" s="313" t="s">
        <v>359</v>
      </c>
    </row>
    <row r="12" spans="1:7" ht="46.5" customHeight="1">
      <c r="A12" s="314"/>
      <c r="B12" s="312" t="s">
        <v>257</v>
      </c>
      <c r="C12" s="313" t="s">
        <v>360</v>
      </c>
    </row>
    <row r="13" spans="1:7" ht="46.5" customHeight="1">
      <c r="A13" s="314"/>
      <c r="B13" s="312" t="s">
        <v>361</v>
      </c>
      <c r="C13" s="313" t="s">
        <v>362</v>
      </c>
    </row>
    <row r="14" spans="1:7" ht="46.5" customHeight="1">
      <c r="A14" s="314"/>
      <c r="B14" s="312" t="s">
        <v>363</v>
      </c>
      <c r="C14" s="313" t="s">
        <v>364</v>
      </c>
    </row>
    <row r="15" spans="1:7" ht="32.25" customHeight="1">
      <c r="A15" s="635" t="s">
        <v>365</v>
      </c>
      <c r="B15" s="635"/>
      <c r="C15" s="635"/>
    </row>
    <row r="16" spans="1:7" ht="30">
      <c r="A16" s="314"/>
      <c r="B16" s="312" t="s">
        <v>366</v>
      </c>
      <c r="C16" s="313" t="s">
        <v>367</v>
      </c>
    </row>
    <row r="17" spans="1:14" ht="32.25" customHeight="1">
      <c r="A17" s="635" t="s">
        <v>134</v>
      </c>
      <c r="B17" s="635"/>
      <c r="C17" s="635"/>
    </row>
    <row r="18" spans="1:14" ht="30">
      <c r="A18" s="314"/>
      <c r="B18" s="312" t="s">
        <v>160</v>
      </c>
      <c r="C18" s="313" t="s">
        <v>368</v>
      </c>
    </row>
    <row r="19" spans="1:14" ht="30.75" customHeight="1">
      <c r="A19" s="314"/>
      <c r="B19" s="312" t="s">
        <v>369</v>
      </c>
      <c r="C19" s="313" t="s">
        <v>370</v>
      </c>
    </row>
    <row r="20" spans="1:14" ht="32.25" customHeight="1">
      <c r="A20" s="635" t="s">
        <v>285</v>
      </c>
      <c r="B20" s="635"/>
      <c r="C20" s="635"/>
    </row>
    <row r="21" spans="1:14" ht="33" customHeight="1">
      <c r="A21" s="314"/>
      <c r="B21" s="312"/>
      <c r="C21" s="313"/>
      <c r="D21" s="32"/>
      <c r="E21" s="32"/>
      <c r="F21" s="32"/>
      <c r="G21" s="32"/>
      <c r="H21" s="32"/>
      <c r="I21" s="32"/>
      <c r="J21" s="32"/>
      <c r="K21" s="32"/>
      <c r="L21" s="32"/>
      <c r="M21" s="32"/>
      <c r="N21" s="32"/>
    </row>
    <row r="22" spans="1:14" ht="33" customHeight="1">
      <c r="A22" s="314"/>
      <c r="B22" s="312"/>
      <c r="C22" s="313"/>
      <c r="D22" s="32"/>
      <c r="E22" s="32"/>
      <c r="F22" s="32"/>
      <c r="G22" s="32"/>
      <c r="H22" s="32"/>
      <c r="I22" s="32"/>
      <c r="J22" s="32"/>
      <c r="K22" s="32"/>
      <c r="L22" s="32"/>
      <c r="M22" s="32"/>
      <c r="N22" s="32"/>
    </row>
    <row r="23" spans="1:14" ht="33" customHeight="1">
      <c r="A23" s="314"/>
      <c r="B23" s="312"/>
      <c r="C23" s="313"/>
      <c r="D23" s="32"/>
      <c r="E23" s="32"/>
      <c r="F23" s="32"/>
      <c r="G23" s="32"/>
      <c r="H23" s="32"/>
      <c r="I23" s="32"/>
      <c r="J23" s="32"/>
      <c r="K23" s="32"/>
      <c r="L23" s="32"/>
      <c r="M23" s="32"/>
      <c r="N23" s="32"/>
    </row>
    <row r="24" spans="1:14" ht="45" customHeight="1">
      <c r="A24" s="314"/>
      <c r="B24" s="312"/>
      <c r="C24" s="313"/>
      <c r="D24" s="307"/>
      <c r="E24" s="307"/>
      <c r="F24" s="307"/>
      <c r="G24" s="307"/>
      <c r="H24" s="307"/>
      <c r="I24" s="307"/>
      <c r="J24" s="307"/>
      <c r="K24" s="307"/>
      <c r="L24" s="307"/>
      <c r="M24" s="307"/>
      <c r="N24" s="307"/>
    </row>
    <row r="25" spans="1:14" ht="33" customHeight="1">
      <c r="A25" s="314"/>
      <c r="B25" s="312"/>
      <c r="C25" s="313"/>
      <c r="D25" s="32"/>
      <c r="E25" s="32"/>
      <c r="F25" s="32"/>
      <c r="G25" s="32"/>
      <c r="H25" s="32"/>
      <c r="I25" s="32"/>
      <c r="J25" s="32"/>
      <c r="K25" s="32"/>
      <c r="L25" s="32"/>
      <c r="M25" s="32"/>
      <c r="N25" s="32"/>
    </row>
    <row r="26" spans="1:14" ht="33" customHeight="1">
      <c r="A26" s="314"/>
      <c r="B26" s="312"/>
      <c r="C26" s="313"/>
      <c r="D26" s="32"/>
      <c r="E26" s="32"/>
      <c r="F26" s="32"/>
      <c r="G26" s="32"/>
      <c r="H26" s="32"/>
      <c r="I26" s="32"/>
      <c r="J26" s="32"/>
      <c r="K26" s="32"/>
      <c r="L26" s="32"/>
      <c r="M26" s="32"/>
      <c r="N26" s="32"/>
    </row>
    <row r="27" spans="1:14" ht="33" customHeight="1">
      <c r="A27" s="314"/>
      <c r="B27" s="312"/>
      <c r="C27" s="313"/>
      <c r="D27" s="32"/>
      <c r="E27" s="32"/>
      <c r="F27" s="32"/>
      <c r="G27" s="32"/>
      <c r="H27" s="32"/>
      <c r="I27" s="32"/>
      <c r="J27" s="32"/>
      <c r="K27" s="32"/>
      <c r="L27" s="32"/>
      <c r="M27" s="32"/>
      <c r="N27" s="32"/>
    </row>
    <row r="28" spans="1:14" ht="33" customHeight="1">
      <c r="A28" s="314"/>
      <c r="B28" s="312"/>
      <c r="C28" s="313"/>
      <c r="D28" s="32"/>
      <c r="E28" s="32"/>
      <c r="F28" s="32"/>
      <c r="G28" s="32"/>
      <c r="H28" s="32"/>
      <c r="I28" s="32"/>
      <c r="J28" s="32"/>
      <c r="K28" s="32"/>
      <c r="L28" s="32"/>
      <c r="M28" s="32"/>
      <c r="N28" s="32"/>
    </row>
    <row r="29" spans="1:14" ht="33" customHeight="1">
      <c r="A29" s="314"/>
      <c r="B29" s="312"/>
      <c r="C29" s="313"/>
      <c r="D29" s="32"/>
      <c r="E29" s="32"/>
      <c r="F29" s="32"/>
      <c r="G29" s="32"/>
      <c r="H29" s="32"/>
      <c r="I29" s="32"/>
      <c r="J29" s="32"/>
      <c r="K29" s="32"/>
      <c r="L29" s="32"/>
      <c r="M29" s="32"/>
      <c r="N29" s="32"/>
    </row>
    <row r="30" spans="1:14" ht="33" customHeight="1">
      <c r="A30" s="314"/>
      <c r="B30" s="312"/>
      <c r="C30" s="313"/>
      <c r="D30" s="32"/>
      <c r="E30" s="32"/>
      <c r="F30" s="32"/>
      <c r="G30" s="32"/>
      <c r="H30" s="32"/>
      <c r="I30" s="32"/>
      <c r="J30" s="32"/>
      <c r="K30" s="32"/>
      <c r="L30" s="32"/>
      <c r="M30" s="32"/>
      <c r="N30" s="32"/>
    </row>
    <row r="31" spans="1:14" ht="33" customHeight="1">
      <c r="A31" s="314"/>
      <c r="B31" s="312"/>
      <c r="C31" s="313"/>
      <c r="D31" s="32"/>
      <c r="E31" s="32"/>
      <c r="F31" s="32"/>
      <c r="G31" s="32"/>
      <c r="H31" s="32"/>
      <c r="I31" s="32"/>
      <c r="J31" s="32"/>
      <c r="K31" s="32"/>
      <c r="L31" s="32"/>
      <c r="M31" s="32"/>
      <c r="N31" s="32"/>
    </row>
    <row r="32" spans="1:14" ht="15">
      <c r="A32" s="314"/>
      <c r="B32" s="312"/>
      <c r="C32" s="313"/>
      <c r="D32" s="307"/>
      <c r="E32" s="307"/>
      <c r="F32" s="307"/>
      <c r="G32" s="307"/>
      <c r="H32" s="307"/>
      <c r="I32" s="307"/>
      <c r="J32" s="307"/>
      <c r="K32" s="307"/>
      <c r="L32" s="307"/>
      <c r="M32" s="307"/>
      <c r="N32" s="307"/>
    </row>
    <row r="33" spans="1:14" ht="33" customHeight="1">
      <c r="A33" s="314"/>
      <c r="B33" s="312"/>
      <c r="C33" s="313"/>
      <c r="D33" s="32"/>
      <c r="E33" s="32"/>
      <c r="F33" s="32"/>
      <c r="G33" s="32"/>
      <c r="H33" s="32"/>
      <c r="I33" s="32"/>
      <c r="J33" s="32"/>
      <c r="K33" s="32"/>
      <c r="L33" s="32"/>
      <c r="M33" s="32"/>
      <c r="N33" s="32"/>
    </row>
    <row r="34" spans="1:14" ht="33" customHeight="1">
      <c r="A34" s="314"/>
      <c r="B34" s="312"/>
      <c r="C34" s="313"/>
      <c r="D34" s="32"/>
      <c r="E34" s="32"/>
      <c r="F34" s="32"/>
      <c r="G34" s="32"/>
      <c r="H34" s="32"/>
      <c r="I34" s="32"/>
      <c r="J34" s="32"/>
      <c r="K34" s="32"/>
      <c r="L34" s="32"/>
      <c r="M34" s="32"/>
      <c r="N34" s="32"/>
    </row>
    <row r="35" spans="1:14" ht="33" customHeight="1">
      <c r="A35" s="314"/>
      <c r="B35" s="312"/>
      <c r="C35" s="313"/>
      <c r="D35" s="32"/>
      <c r="E35" s="32"/>
      <c r="F35" s="32"/>
      <c r="G35" s="32"/>
      <c r="H35" s="32"/>
      <c r="I35" s="32"/>
      <c r="J35" s="32"/>
      <c r="K35" s="32"/>
      <c r="L35" s="32"/>
      <c r="M35" s="32"/>
      <c r="N35" s="32"/>
    </row>
    <row r="36" spans="1:14" ht="33" customHeight="1">
      <c r="A36" s="314"/>
      <c r="B36" s="312"/>
      <c r="C36" s="313"/>
      <c r="D36" s="32"/>
      <c r="E36" s="32"/>
      <c r="F36" s="32"/>
      <c r="G36" s="32"/>
      <c r="H36" s="32"/>
      <c r="I36" s="32"/>
      <c r="J36" s="32"/>
      <c r="K36" s="32"/>
      <c r="L36" s="32"/>
      <c r="M36" s="32"/>
      <c r="N36" s="32"/>
    </row>
    <row r="37" spans="1:14" ht="33" customHeight="1">
      <c r="A37" s="314"/>
      <c r="B37" s="312"/>
      <c r="C37" s="313"/>
      <c r="D37" s="307"/>
      <c r="E37" s="307"/>
      <c r="F37" s="307"/>
      <c r="G37" s="307"/>
      <c r="H37" s="307"/>
      <c r="I37" s="307"/>
      <c r="J37" s="307"/>
      <c r="K37" s="307"/>
      <c r="L37" s="307"/>
      <c r="M37" s="307"/>
      <c r="N37" s="307"/>
    </row>
    <row r="38" spans="1:14" ht="33" customHeight="1">
      <c r="A38" s="314"/>
      <c r="B38" s="312"/>
      <c r="C38" s="313"/>
      <c r="D38" s="32"/>
      <c r="E38" s="32"/>
      <c r="F38" s="32"/>
      <c r="G38" s="32"/>
      <c r="H38" s="32"/>
      <c r="I38" s="32"/>
      <c r="J38" s="32"/>
      <c r="K38" s="32"/>
      <c r="L38" s="32"/>
      <c r="M38" s="32"/>
      <c r="N38" s="32"/>
    </row>
    <row r="39" spans="1:14" ht="33" customHeight="1">
      <c r="A39" s="314"/>
      <c r="B39" s="312"/>
      <c r="C39" s="313"/>
      <c r="D39" s="32"/>
      <c r="E39" s="32"/>
      <c r="F39" s="32"/>
      <c r="G39" s="32"/>
      <c r="H39" s="32"/>
      <c r="I39" s="32"/>
      <c r="J39" s="32"/>
      <c r="K39" s="32"/>
      <c r="L39" s="32"/>
      <c r="M39" s="32"/>
      <c r="N39" s="32"/>
    </row>
    <row r="40" spans="1:14" ht="33" customHeight="1">
      <c r="A40" s="314"/>
      <c r="B40" s="312"/>
      <c r="C40" s="313"/>
      <c r="D40" s="308"/>
      <c r="E40" s="308"/>
      <c r="F40" s="308"/>
      <c r="G40" s="308"/>
      <c r="H40" s="308"/>
      <c r="I40" s="308"/>
      <c r="J40" s="308"/>
      <c r="K40" s="308"/>
      <c r="L40" s="308"/>
      <c r="M40" s="308"/>
      <c r="N40" s="308"/>
    </row>
    <row r="41" spans="1:14" ht="33" customHeight="1">
      <c r="A41" s="314"/>
      <c r="B41" s="312"/>
      <c r="C41" s="313"/>
      <c r="D41" s="308"/>
      <c r="E41" s="308"/>
      <c r="F41" s="308"/>
      <c r="G41" s="308"/>
      <c r="H41" s="308"/>
      <c r="I41" s="308"/>
      <c r="J41" s="308"/>
      <c r="K41" s="308"/>
      <c r="L41" s="308"/>
      <c r="M41" s="308"/>
      <c r="N41" s="308"/>
    </row>
    <row r="42" spans="1:14" ht="33" customHeight="1">
      <c r="A42" s="314"/>
      <c r="B42" s="312"/>
      <c r="C42" s="313"/>
      <c r="D42" s="308"/>
      <c r="E42" s="308"/>
      <c r="F42" s="308"/>
      <c r="G42" s="308"/>
      <c r="H42" s="308"/>
      <c r="I42" s="308"/>
      <c r="J42" s="308"/>
      <c r="K42" s="308"/>
      <c r="L42" s="308"/>
      <c r="M42" s="308"/>
      <c r="N42" s="308"/>
    </row>
    <row r="43" spans="1:14" ht="33" customHeight="1">
      <c r="A43" s="314"/>
      <c r="B43" s="312"/>
      <c r="C43" s="313"/>
      <c r="D43" s="308"/>
      <c r="E43" s="308"/>
      <c r="F43" s="308"/>
      <c r="G43" s="308"/>
      <c r="H43" s="308"/>
      <c r="I43" s="308"/>
      <c r="J43" s="308"/>
      <c r="K43" s="308"/>
      <c r="L43" s="308"/>
      <c r="M43" s="308"/>
      <c r="N43" s="308"/>
    </row>
  </sheetData>
  <mergeCells count="6">
    <mergeCell ref="A20:C20"/>
    <mergeCell ref="A2:B2"/>
    <mergeCell ref="A4:C4"/>
    <mergeCell ref="A9:C9"/>
    <mergeCell ref="A15:C15"/>
    <mergeCell ref="A17:C17"/>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2:R20"/>
  <sheetViews>
    <sheetView topLeftCell="B1" workbookViewId="0">
      <selection activeCell="K4" sqref="K4"/>
    </sheetView>
  </sheetViews>
  <sheetFormatPr defaultColWidth="9.140625" defaultRowHeight="15"/>
  <cols>
    <col min="1" max="1" width="0" style="315" hidden="1" customWidth="1"/>
    <col min="2" max="2" width="40.28515625" style="315" customWidth="1"/>
    <col min="3" max="13" width="9.140625" style="315"/>
    <col min="14" max="16" width="9.140625" style="315" customWidth="1"/>
    <col min="17" max="17" width="2.85546875" style="315" customWidth="1"/>
    <col min="18" max="18" width="9.140625" style="315" hidden="1" customWidth="1"/>
    <col min="19" max="22" width="9.140625" style="315" customWidth="1"/>
    <col min="23" max="23" width="11.85546875" style="315" customWidth="1"/>
    <col min="24" max="16384" width="9.140625" style="315"/>
  </cols>
  <sheetData>
    <row r="2" spans="2:18" ht="78" customHeight="1"/>
    <row r="3" spans="2:18" ht="27.75" customHeight="1">
      <c r="B3" s="318" t="s">
        <v>136</v>
      </c>
      <c r="C3" s="654" t="s">
        <v>347</v>
      </c>
      <c r="D3" s="655"/>
      <c r="E3" s="656"/>
      <c r="F3" s="547"/>
      <c r="G3" s="547"/>
      <c r="H3" s="547"/>
      <c r="I3" s="547"/>
      <c r="J3" s="653" t="s">
        <v>381</v>
      </c>
      <c r="K3" s="653"/>
      <c r="L3" s="650"/>
      <c r="M3" s="650"/>
      <c r="N3"/>
      <c r="O3" s="563" t="s">
        <v>704</v>
      </c>
      <c r="P3"/>
    </row>
    <row r="4" spans="2:18">
      <c r="B4" s="302"/>
      <c r="C4" s="319" t="s">
        <v>371</v>
      </c>
      <c r="D4" s="319" t="s">
        <v>372</v>
      </c>
      <c r="E4" s="319" t="s">
        <v>684</v>
      </c>
      <c r="F4" s="650" t="s">
        <v>685</v>
      </c>
      <c r="G4" s="651"/>
      <c r="H4" s="651"/>
      <c r="I4" s="652"/>
      <c r="J4" s="319" t="s">
        <v>371</v>
      </c>
      <c r="K4" s="319" t="s">
        <v>372</v>
      </c>
      <c r="L4" s="550" t="s">
        <v>684</v>
      </c>
      <c r="M4" s="532" t="s">
        <v>373</v>
      </c>
      <c r="N4"/>
      <c r="O4"/>
      <c r="P4"/>
    </row>
    <row r="5" spans="2:18">
      <c r="B5" s="647" t="s">
        <v>343</v>
      </c>
      <c r="C5" s="544">
        <v>2019</v>
      </c>
      <c r="D5" s="544">
        <v>2020</v>
      </c>
      <c r="E5" s="544">
        <v>2021</v>
      </c>
      <c r="F5" s="649">
        <v>2022</v>
      </c>
      <c r="G5" s="649"/>
      <c r="H5" s="649"/>
      <c r="I5" s="649"/>
      <c r="J5" s="649">
        <v>2019</v>
      </c>
      <c r="K5" s="657">
        <v>2020</v>
      </c>
      <c r="L5" s="657">
        <v>2021</v>
      </c>
      <c r="M5" s="649">
        <v>2022</v>
      </c>
    </row>
    <row r="6" spans="2:18">
      <c r="B6" s="648"/>
      <c r="C6" s="545"/>
      <c r="D6" s="545"/>
      <c r="E6" s="545"/>
      <c r="F6" s="546" t="s">
        <v>344</v>
      </c>
      <c r="G6" s="546" t="s">
        <v>345</v>
      </c>
      <c r="H6" s="546" t="s">
        <v>379</v>
      </c>
      <c r="I6" s="546" t="s">
        <v>380</v>
      </c>
      <c r="J6" s="649"/>
      <c r="K6" s="657"/>
      <c r="L6" s="657"/>
      <c r="M6" s="649"/>
      <c r="R6" s="317"/>
    </row>
    <row r="7" spans="2:18">
      <c r="B7" s="323" t="s">
        <v>374</v>
      </c>
      <c r="C7" s="316"/>
      <c r="D7" s="316"/>
      <c r="E7" s="316"/>
      <c r="F7" s="316"/>
      <c r="G7" s="316"/>
      <c r="H7" s="316"/>
      <c r="I7" s="316"/>
      <c r="J7" s="316"/>
      <c r="K7" s="316"/>
      <c r="L7" s="551"/>
      <c r="M7" s="316"/>
      <c r="R7" s="316" t="s">
        <v>346</v>
      </c>
    </row>
    <row r="8" spans="2:18">
      <c r="B8" s="323" t="s">
        <v>503</v>
      </c>
      <c r="C8" s="316"/>
      <c r="D8" s="316"/>
      <c r="E8" s="316"/>
      <c r="F8" s="316"/>
      <c r="G8" s="316"/>
      <c r="H8" s="316"/>
      <c r="I8" s="316"/>
      <c r="J8" s="316"/>
      <c r="K8" s="316"/>
      <c r="L8" s="548"/>
      <c r="M8" s="316"/>
      <c r="R8" s="316" t="s">
        <v>287</v>
      </c>
    </row>
    <row r="9" spans="2:18" ht="30">
      <c r="B9" s="323" t="s">
        <v>510</v>
      </c>
      <c r="C9" s="317"/>
      <c r="D9" s="317"/>
      <c r="E9" s="317"/>
      <c r="F9" s="317"/>
      <c r="G9" s="317"/>
      <c r="H9" s="317"/>
      <c r="I9" s="317"/>
      <c r="J9" s="317"/>
      <c r="K9" s="317"/>
      <c r="L9" s="549"/>
      <c r="M9" s="317"/>
      <c r="R9" s="316" t="s">
        <v>347</v>
      </c>
    </row>
    <row r="10" spans="2:18" ht="30">
      <c r="B10" s="323" t="s">
        <v>504</v>
      </c>
      <c r="C10" s="317"/>
      <c r="D10" s="317"/>
      <c r="E10" s="317"/>
      <c r="F10" s="317"/>
      <c r="G10" s="317"/>
      <c r="H10" s="317"/>
      <c r="I10" s="317"/>
      <c r="J10" s="317"/>
      <c r="K10" s="317"/>
      <c r="L10" s="549"/>
      <c r="M10" s="317"/>
      <c r="R10" s="316" t="s">
        <v>348</v>
      </c>
    </row>
    <row r="11" spans="2:18" ht="30">
      <c r="B11" s="323" t="s">
        <v>505</v>
      </c>
      <c r="C11" s="316"/>
      <c r="D11" s="316"/>
      <c r="E11" s="316"/>
      <c r="F11" s="316"/>
      <c r="G11" s="316"/>
      <c r="H11" s="316"/>
      <c r="I11" s="316"/>
      <c r="J11" s="317"/>
      <c r="K11" s="317"/>
      <c r="L11" s="549"/>
      <c r="M11" s="317"/>
    </row>
    <row r="12" spans="2:18">
      <c r="B12" s="323" t="s">
        <v>506</v>
      </c>
      <c r="C12" s="316"/>
      <c r="D12" s="316"/>
      <c r="E12" s="316"/>
      <c r="F12" s="316"/>
      <c r="G12" s="316"/>
      <c r="H12" s="316"/>
      <c r="I12" s="316"/>
      <c r="J12" s="317"/>
      <c r="K12" s="317"/>
      <c r="L12" s="549"/>
      <c r="M12" s="317"/>
    </row>
    <row r="13" spans="2:18">
      <c r="B13" s="323" t="s">
        <v>507</v>
      </c>
      <c r="C13" s="316"/>
      <c r="D13" s="316"/>
      <c r="E13" s="316"/>
      <c r="F13" s="316"/>
      <c r="G13" s="316"/>
      <c r="H13" s="316"/>
      <c r="I13" s="316"/>
      <c r="J13" s="317"/>
      <c r="K13" s="317"/>
      <c r="L13" s="549"/>
      <c r="M13" s="317"/>
    </row>
    <row r="14" spans="2:18" ht="30">
      <c r="B14" s="323" t="s">
        <v>508</v>
      </c>
      <c r="C14" s="317"/>
      <c r="D14" s="317"/>
      <c r="E14" s="317"/>
      <c r="F14" s="317"/>
      <c r="G14" s="317"/>
      <c r="H14" s="317"/>
      <c r="I14" s="317"/>
      <c r="J14" s="317"/>
      <c r="K14" s="317"/>
      <c r="L14" s="549"/>
      <c r="M14" s="317"/>
    </row>
    <row r="15" spans="2:18">
      <c r="B15" s="323" t="s">
        <v>509</v>
      </c>
      <c r="C15" s="317"/>
      <c r="D15" s="317"/>
      <c r="E15" s="317"/>
      <c r="F15" s="317"/>
      <c r="G15" s="317"/>
      <c r="H15" s="317"/>
      <c r="I15" s="317"/>
      <c r="J15" s="317"/>
      <c r="K15" s="317"/>
      <c r="L15" s="549"/>
      <c r="M15" s="317"/>
    </row>
    <row r="16" spans="2:18">
      <c r="B16" s="323"/>
      <c r="C16" s="317"/>
      <c r="D16" s="317"/>
      <c r="E16" s="317"/>
      <c r="F16" s="317"/>
      <c r="G16" s="317"/>
      <c r="H16" s="317"/>
      <c r="I16" s="317"/>
      <c r="J16" s="317"/>
      <c r="K16" s="317"/>
      <c r="L16" s="549"/>
      <c r="M16" s="317"/>
    </row>
    <row r="17" spans="2:13">
      <c r="B17" s="323"/>
      <c r="C17" s="317"/>
      <c r="D17" s="317"/>
      <c r="E17" s="317"/>
      <c r="F17" s="317"/>
      <c r="G17" s="317"/>
      <c r="H17" s="317"/>
      <c r="I17" s="317"/>
      <c r="J17" s="317"/>
      <c r="K17" s="317"/>
      <c r="L17" s="549"/>
      <c r="M17" s="317"/>
    </row>
    <row r="18" spans="2:13">
      <c r="B18" s="323"/>
      <c r="C18" s="317"/>
      <c r="D18" s="317"/>
      <c r="E18" s="317"/>
      <c r="F18" s="317"/>
      <c r="G18" s="317"/>
      <c r="H18" s="317"/>
      <c r="I18" s="317"/>
      <c r="J18" s="317"/>
      <c r="K18" s="317"/>
      <c r="L18" s="549"/>
      <c r="M18" s="317"/>
    </row>
    <row r="19" spans="2:13">
      <c r="B19" s="323"/>
      <c r="C19" s="317"/>
      <c r="D19" s="317"/>
      <c r="E19" s="317"/>
      <c r="F19" s="317"/>
      <c r="G19" s="317"/>
      <c r="H19" s="317"/>
      <c r="I19" s="317"/>
      <c r="J19" s="317"/>
      <c r="K19" s="317"/>
      <c r="L19" s="549"/>
      <c r="M19" s="317"/>
    </row>
    <row r="20" spans="2:13">
      <c r="B20" s="555"/>
    </row>
  </sheetData>
  <mergeCells count="9">
    <mergeCell ref="B5:B6"/>
    <mergeCell ref="F5:I5"/>
    <mergeCell ref="F4:I4"/>
    <mergeCell ref="J3:M3"/>
    <mergeCell ref="C3:E3"/>
    <mergeCell ref="L5:L6"/>
    <mergeCell ref="J5:J6"/>
    <mergeCell ref="K5:K6"/>
    <mergeCell ref="M5:M6"/>
  </mergeCells>
  <phoneticPr fontId="16" type="noConversion"/>
  <dataValidations count="1">
    <dataValidation type="list" allowBlank="1" showInputMessage="1" showErrorMessage="1" sqref="C3" xr:uid="{00000000-0002-0000-0100-000000000000}">
      <formula1>$R$7:$R$10</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6:M35"/>
  <sheetViews>
    <sheetView tabSelected="1" topLeftCell="A16" workbookViewId="0">
      <selection activeCell="A6" sqref="A6:J24"/>
    </sheetView>
  </sheetViews>
  <sheetFormatPr defaultRowHeight="15"/>
  <cols>
    <col min="10" max="10" width="53.7109375" customWidth="1"/>
    <col min="11" max="11" width="0" hidden="1" customWidth="1"/>
    <col min="13" max="13" width="0" hidden="1" customWidth="1"/>
  </cols>
  <sheetData>
    <row r="6" spans="1:13" ht="18.75">
      <c r="A6" s="627" t="s">
        <v>705</v>
      </c>
      <c r="B6" s="628"/>
      <c r="C6" s="628"/>
      <c r="D6" s="628"/>
      <c r="E6" s="628"/>
      <c r="F6" s="628"/>
      <c r="G6" s="628"/>
      <c r="H6" s="628"/>
      <c r="I6" s="628"/>
      <c r="J6" s="628"/>
    </row>
    <row r="8" spans="1:13" ht="14.65" customHeight="1">
      <c r="A8" s="659" t="s">
        <v>715</v>
      </c>
      <c r="B8" s="659"/>
      <c r="C8" s="659"/>
      <c r="D8" s="659"/>
      <c r="E8" s="659"/>
      <c r="F8" s="659"/>
      <c r="G8" s="659"/>
      <c r="H8" s="659"/>
      <c r="I8" s="566" t="s">
        <v>707</v>
      </c>
      <c r="J8" s="566" t="s">
        <v>568</v>
      </c>
      <c r="M8" t="s">
        <v>421</v>
      </c>
    </row>
    <row r="9" spans="1:13" ht="15" customHeight="1">
      <c r="A9" s="635" t="s">
        <v>709</v>
      </c>
      <c r="B9" s="635"/>
      <c r="C9" s="635"/>
      <c r="D9" s="635"/>
      <c r="E9" s="635"/>
      <c r="F9" s="635"/>
      <c r="G9" s="635"/>
      <c r="H9" s="635"/>
      <c r="I9" s="510"/>
      <c r="J9" s="510"/>
      <c r="M9" t="s">
        <v>708</v>
      </c>
    </row>
    <row r="10" spans="1:13" ht="15" customHeight="1">
      <c r="A10" s="658" t="s">
        <v>728</v>
      </c>
      <c r="B10" s="658"/>
      <c r="C10" s="658"/>
      <c r="D10" s="658"/>
      <c r="E10" s="658"/>
      <c r="F10" s="658"/>
      <c r="G10" s="658"/>
      <c r="H10" s="658"/>
      <c r="I10" s="567" t="s">
        <v>421</v>
      </c>
      <c r="J10" s="312"/>
      <c r="K10">
        <v>1</v>
      </c>
    </row>
    <row r="11" spans="1:13">
      <c r="A11" s="658" t="s">
        <v>729</v>
      </c>
      <c r="B11" s="658"/>
      <c r="C11" s="658"/>
      <c r="D11" s="658"/>
      <c r="E11" s="658"/>
      <c r="F11" s="658"/>
      <c r="G11" s="658"/>
      <c r="H11" s="658"/>
      <c r="I11" s="567" t="s">
        <v>421</v>
      </c>
      <c r="J11" s="312"/>
      <c r="K11">
        <v>1</v>
      </c>
    </row>
    <row r="12" spans="1:13">
      <c r="A12" s="658" t="s">
        <v>730</v>
      </c>
      <c r="B12" s="658"/>
      <c r="C12" s="658"/>
      <c r="D12" s="658"/>
      <c r="E12" s="658"/>
      <c r="F12" s="658"/>
      <c r="G12" s="658"/>
      <c r="H12" s="658"/>
      <c r="I12" s="567" t="s">
        <v>421</v>
      </c>
      <c r="J12" s="312"/>
      <c r="K12">
        <v>1</v>
      </c>
    </row>
    <row r="13" spans="1:13">
      <c r="A13" s="635" t="s">
        <v>710</v>
      </c>
      <c r="B13" s="635"/>
      <c r="C13" s="635"/>
      <c r="D13" s="635"/>
      <c r="E13" s="635"/>
      <c r="F13" s="635"/>
      <c r="G13" s="635"/>
      <c r="H13" s="635"/>
      <c r="I13" s="510"/>
      <c r="J13" s="510"/>
    </row>
    <row r="14" spans="1:13" ht="15" customHeight="1">
      <c r="A14" s="658" t="s">
        <v>586</v>
      </c>
      <c r="B14" s="658"/>
      <c r="C14" s="658"/>
      <c r="D14" s="658"/>
      <c r="E14" s="658"/>
      <c r="F14" s="658"/>
      <c r="G14" s="658"/>
      <c r="H14" s="658"/>
      <c r="I14" s="567" t="s">
        <v>421</v>
      </c>
      <c r="J14" s="312"/>
      <c r="K14">
        <v>1</v>
      </c>
    </row>
    <row r="15" spans="1:13" ht="18.75" customHeight="1">
      <c r="A15" s="658" t="s">
        <v>585</v>
      </c>
      <c r="B15" s="658"/>
      <c r="C15" s="658"/>
      <c r="D15" s="658"/>
      <c r="E15" s="658"/>
      <c r="F15" s="658"/>
      <c r="G15" s="658"/>
      <c r="H15" s="658"/>
      <c r="I15" s="567" t="s">
        <v>421</v>
      </c>
      <c r="J15" s="312"/>
      <c r="K15">
        <v>1</v>
      </c>
    </row>
    <row r="16" spans="1:13" ht="18.75" customHeight="1">
      <c r="A16" s="658" t="s">
        <v>538</v>
      </c>
      <c r="B16" s="658"/>
      <c r="C16" s="658"/>
      <c r="D16" s="658"/>
      <c r="E16" s="658"/>
      <c r="F16" s="658"/>
      <c r="G16" s="658"/>
      <c r="H16" s="658"/>
      <c r="I16" s="567" t="s">
        <v>421</v>
      </c>
      <c r="J16" s="312"/>
      <c r="K16">
        <v>1</v>
      </c>
    </row>
    <row r="17" spans="1:11" ht="18.75" customHeight="1">
      <c r="A17" s="658" t="s">
        <v>472</v>
      </c>
      <c r="B17" s="658"/>
      <c r="C17" s="658"/>
      <c r="D17" s="658"/>
      <c r="E17" s="658"/>
      <c r="F17" s="658"/>
      <c r="G17" s="658"/>
      <c r="H17" s="658"/>
      <c r="I17" s="567" t="s">
        <v>421</v>
      </c>
      <c r="J17" s="312"/>
      <c r="K17">
        <v>1</v>
      </c>
    </row>
    <row r="18" spans="1:11" ht="18.75" customHeight="1">
      <c r="A18" s="658" t="s">
        <v>473</v>
      </c>
      <c r="B18" s="658"/>
      <c r="C18" s="658"/>
      <c r="D18" s="658"/>
      <c r="E18" s="658"/>
      <c r="F18" s="658"/>
      <c r="G18" s="658"/>
      <c r="H18" s="658"/>
      <c r="I18" s="567" t="s">
        <v>421</v>
      </c>
      <c r="J18" s="312"/>
      <c r="K18">
        <v>1</v>
      </c>
    </row>
    <row r="19" spans="1:11" ht="18.75" customHeight="1">
      <c r="A19" s="658" t="s">
        <v>474</v>
      </c>
      <c r="B19" s="658"/>
      <c r="C19" s="658"/>
      <c r="D19" s="658"/>
      <c r="E19" s="658"/>
      <c r="F19" s="658"/>
      <c r="G19" s="658"/>
      <c r="H19" s="658"/>
      <c r="I19" s="567" t="s">
        <v>421</v>
      </c>
      <c r="J19" s="312"/>
      <c r="K19">
        <v>1</v>
      </c>
    </row>
    <row r="20" spans="1:11" ht="18.75" customHeight="1">
      <c r="A20" s="658" t="s">
        <v>475</v>
      </c>
      <c r="B20" s="658"/>
      <c r="C20" s="658"/>
      <c r="D20" s="658"/>
      <c r="E20" s="658"/>
      <c r="F20" s="658"/>
      <c r="G20" s="658"/>
      <c r="H20" s="658"/>
      <c r="I20" s="567" t="s">
        <v>421</v>
      </c>
      <c r="J20" s="312"/>
      <c r="K20">
        <v>1</v>
      </c>
    </row>
    <row r="21" spans="1:11" ht="18.75" customHeight="1">
      <c r="A21" s="658" t="s">
        <v>476</v>
      </c>
      <c r="B21" s="658"/>
      <c r="C21" s="658"/>
      <c r="D21" s="658"/>
      <c r="E21" s="658"/>
      <c r="F21" s="658"/>
      <c r="G21" s="658"/>
      <c r="H21" s="658"/>
      <c r="I21" s="567" t="s">
        <v>421</v>
      </c>
      <c r="J21" s="312"/>
      <c r="K21">
        <v>1</v>
      </c>
    </row>
    <row r="22" spans="1:11" ht="18.75" customHeight="1">
      <c r="A22" s="658" t="s">
        <v>477</v>
      </c>
      <c r="B22" s="658"/>
      <c r="C22" s="658"/>
      <c r="D22" s="658"/>
      <c r="E22" s="658"/>
      <c r="F22" s="658"/>
      <c r="G22" s="658"/>
      <c r="H22" s="658"/>
      <c r="I22" s="567" t="s">
        <v>421</v>
      </c>
      <c r="J22" s="312"/>
      <c r="K22">
        <v>1</v>
      </c>
    </row>
    <row r="23" spans="1:11">
      <c r="A23" s="635" t="s">
        <v>706</v>
      </c>
      <c r="B23" s="635"/>
      <c r="C23" s="635"/>
      <c r="D23" s="635"/>
      <c r="E23" s="635"/>
      <c r="F23" s="635"/>
      <c r="G23" s="635"/>
      <c r="H23" s="635"/>
      <c r="I23" s="510"/>
      <c r="J23" s="510"/>
    </row>
    <row r="24" spans="1:11" ht="15" customHeight="1">
      <c r="A24" s="658" t="s">
        <v>733</v>
      </c>
      <c r="B24" s="658"/>
      <c r="C24" s="658"/>
      <c r="D24" s="658"/>
      <c r="E24" s="658"/>
      <c r="F24" s="658"/>
      <c r="G24" s="658"/>
      <c r="H24" s="658"/>
      <c r="I24" s="567" t="s">
        <v>708</v>
      </c>
      <c r="J24" s="312"/>
      <c r="K24">
        <v>1</v>
      </c>
    </row>
    <row r="25" spans="1:11" ht="18.75" customHeight="1">
      <c r="A25" s="658" t="s">
        <v>470</v>
      </c>
      <c r="B25" s="658"/>
      <c r="C25" s="658"/>
      <c r="D25" s="658"/>
      <c r="E25" s="658"/>
      <c r="F25" s="658"/>
      <c r="G25" s="658"/>
      <c r="H25" s="658"/>
      <c r="I25" s="567"/>
      <c r="J25" s="312"/>
      <c r="K25">
        <v>1</v>
      </c>
    </row>
    <row r="26" spans="1:11">
      <c r="A26" s="658" t="s">
        <v>732</v>
      </c>
      <c r="B26" s="658"/>
      <c r="C26" s="658"/>
      <c r="D26" s="658"/>
      <c r="E26" s="658"/>
      <c r="F26" s="658"/>
      <c r="G26" s="658"/>
      <c r="H26" s="658"/>
      <c r="I26" s="567" t="s">
        <v>708</v>
      </c>
      <c r="J26" s="312"/>
      <c r="K26">
        <v>1</v>
      </c>
    </row>
    <row r="27" spans="1:11">
      <c r="A27" s="635" t="s">
        <v>706</v>
      </c>
      <c r="B27" s="635"/>
      <c r="C27" s="635"/>
      <c r="D27" s="635"/>
      <c r="E27" s="635"/>
      <c r="F27" s="635"/>
      <c r="G27" s="635"/>
      <c r="H27" s="635"/>
      <c r="I27" s="510"/>
      <c r="J27" s="510"/>
    </row>
    <row r="28" spans="1:11">
      <c r="A28" s="658" t="s">
        <v>711</v>
      </c>
      <c r="B28" s="658"/>
      <c r="C28" s="658"/>
      <c r="D28" s="658"/>
      <c r="E28" s="658"/>
      <c r="F28" s="658"/>
      <c r="G28" s="658"/>
      <c r="H28" s="658"/>
      <c r="I28" s="567"/>
      <c r="J28" s="312"/>
      <c r="K28">
        <v>1</v>
      </c>
    </row>
    <row r="29" spans="1:11">
      <c r="A29" s="658"/>
      <c r="B29" s="658"/>
      <c r="C29" s="658"/>
      <c r="D29" s="658"/>
      <c r="E29" s="658"/>
      <c r="F29" s="658"/>
      <c r="G29" s="658"/>
      <c r="H29" s="658"/>
      <c r="I29" s="567"/>
      <c r="J29" s="312"/>
    </row>
    <row r="30" spans="1:11">
      <c r="A30" s="658"/>
      <c r="B30" s="658"/>
      <c r="C30" s="658"/>
      <c r="D30" s="658"/>
      <c r="E30" s="658"/>
      <c r="F30" s="658"/>
      <c r="G30" s="658"/>
      <c r="H30" s="658"/>
      <c r="I30" s="567"/>
      <c r="J30" s="312"/>
    </row>
    <row r="31" spans="1:11">
      <c r="A31" s="658"/>
      <c r="B31" s="658"/>
      <c r="C31" s="658"/>
      <c r="D31" s="658"/>
      <c r="E31" s="658"/>
      <c r="F31" s="658"/>
      <c r="G31" s="658"/>
      <c r="H31" s="658"/>
      <c r="I31" s="567"/>
      <c r="J31" s="312"/>
    </row>
    <row r="32" spans="1:11">
      <c r="A32" s="658"/>
      <c r="B32" s="658"/>
      <c r="C32" s="658"/>
      <c r="D32" s="658"/>
      <c r="E32" s="658"/>
      <c r="F32" s="658"/>
      <c r="G32" s="658"/>
      <c r="H32" s="658"/>
      <c r="I32" s="567"/>
      <c r="J32" s="312"/>
    </row>
    <row r="33" spans="1:11">
      <c r="A33" s="658"/>
      <c r="B33" s="658"/>
      <c r="C33" s="658"/>
      <c r="D33" s="658"/>
      <c r="E33" s="658"/>
      <c r="F33" s="658"/>
      <c r="G33" s="658"/>
      <c r="H33" s="658"/>
      <c r="I33" s="567"/>
      <c r="J33" s="312"/>
    </row>
    <row r="35" spans="1:11">
      <c r="A35" s="635" t="s">
        <v>712</v>
      </c>
      <c r="B35" s="635"/>
      <c r="C35" s="635"/>
      <c r="D35" s="635"/>
      <c r="E35" s="635"/>
      <c r="F35" s="635"/>
      <c r="G35" s="635"/>
      <c r="H35" s="635"/>
      <c r="I35" s="595">
        <f>+SUMIF(I9:I33,"yes",K9:K33)/K35</f>
        <v>0.75</v>
      </c>
      <c r="J35" s="569" t="s">
        <v>713</v>
      </c>
      <c r="K35">
        <f>+SUM(K10:K33)</f>
        <v>16</v>
      </c>
    </row>
  </sheetData>
  <mergeCells count="28">
    <mergeCell ref="A24:H24"/>
    <mergeCell ref="A25:H25"/>
    <mergeCell ref="A26:H26"/>
    <mergeCell ref="A16:H16"/>
    <mergeCell ref="A23:H23"/>
    <mergeCell ref="A21:H21"/>
    <mergeCell ref="A20:H20"/>
    <mergeCell ref="A22:H22"/>
    <mergeCell ref="A6:J6"/>
    <mergeCell ref="A17:H17"/>
    <mergeCell ref="A18:H18"/>
    <mergeCell ref="A19:H19"/>
    <mergeCell ref="A10:H10"/>
    <mergeCell ref="A11:H11"/>
    <mergeCell ref="A12:H12"/>
    <mergeCell ref="A9:H9"/>
    <mergeCell ref="A8:H8"/>
    <mergeCell ref="A13:H13"/>
    <mergeCell ref="A14:H14"/>
    <mergeCell ref="A15:H15"/>
    <mergeCell ref="A35:H35"/>
    <mergeCell ref="A27:H27"/>
    <mergeCell ref="A28:H28"/>
    <mergeCell ref="A29:H29"/>
    <mergeCell ref="A30:H30"/>
    <mergeCell ref="A31:H31"/>
    <mergeCell ref="A32:H32"/>
    <mergeCell ref="A33:H33"/>
  </mergeCells>
  <dataValidations count="1">
    <dataValidation type="list" allowBlank="1" showInputMessage="1" showErrorMessage="1" sqref="I10:I12 I28:I33 I14:I22 I24:I26" xr:uid="{00000000-0002-0000-0200-000000000000}">
      <formula1>$M$7:$M$9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P51"/>
  <sheetViews>
    <sheetView topLeftCell="E31" zoomScaleNormal="100" workbookViewId="0">
      <selection activeCell="N42" sqref="N42"/>
    </sheetView>
  </sheetViews>
  <sheetFormatPr defaultColWidth="9" defaultRowHeight="15"/>
  <cols>
    <col min="1" max="1" width="5.85546875" style="8" customWidth="1"/>
    <col min="2" max="2" width="40.7109375" style="273" customWidth="1"/>
    <col min="3" max="3" width="27.140625" style="109" customWidth="1"/>
    <col min="4" max="4" width="15.28515625" style="14" bestFit="1" customWidth="1"/>
    <col min="5" max="5" width="20.7109375" style="14" bestFit="1" customWidth="1"/>
    <col min="6" max="6" width="16.85546875" style="14" bestFit="1" customWidth="1"/>
    <col min="7" max="7" width="20.7109375" style="14" bestFit="1" customWidth="1"/>
    <col min="8" max="8" width="13.85546875" style="14" bestFit="1" customWidth="1"/>
    <col min="9" max="9" width="24.5703125" style="14" customWidth="1"/>
    <col min="10" max="10" width="27.42578125" style="14" customWidth="1"/>
    <col min="11" max="13" width="15.7109375" style="1" customWidth="1"/>
    <col min="14" max="16384" width="9" style="1"/>
  </cols>
  <sheetData>
    <row r="1" spans="1:12" s="244" customFormat="1" ht="70.5" customHeight="1">
      <c r="A1" s="242"/>
      <c r="B1" s="243"/>
    </row>
    <row r="2" spans="1:12" s="8" customFormat="1">
      <c r="B2" s="564"/>
      <c r="C2" s="565"/>
      <c r="D2" s="9"/>
      <c r="E2" s="9"/>
      <c r="F2" s="9"/>
      <c r="G2" s="9"/>
      <c r="H2" s="9"/>
      <c r="I2" s="9"/>
      <c r="J2" s="9"/>
    </row>
    <row r="3" spans="1:12" s="247" customFormat="1" ht="27.75" customHeight="1">
      <c r="A3" s="245"/>
      <c r="B3" s="681" t="s">
        <v>714</v>
      </c>
      <c r="C3" s="681"/>
      <c r="D3" s="681"/>
      <c r="E3" s="681"/>
      <c r="F3" s="681"/>
      <c r="G3" s="681"/>
      <c r="H3" s="681"/>
      <c r="I3" s="246"/>
      <c r="J3" s="246"/>
    </row>
    <row r="4" spans="1:12" ht="18.75">
      <c r="A4" s="248"/>
      <c r="B4" s="320" t="s">
        <v>353</v>
      </c>
      <c r="C4" s="321" t="s">
        <v>147</v>
      </c>
      <c r="D4" s="322"/>
      <c r="E4" s="322"/>
      <c r="F4" s="322"/>
      <c r="G4" s="252"/>
      <c r="H4" s="680"/>
      <c r="I4" s="680"/>
      <c r="J4" s="1"/>
      <c r="K4" s="114"/>
    </row>
    <row r="5" spans="1:12" ht="30">
      <c r="A5" s="253" t="s">
        <v>124</v>
      </c>
      <c r="B5" s="68" t="s">
        <v>162</v>
      </c>
      <c r="C5" s="68" t="s">
        <v>354</v>
      </c>
      <c r="D5" s="68" t="s">
        <v>164</v>
      </c>
      <c r="E5" s="254" t="s">
        <v>165</v>
      </c>
      <c r="F5" s="68" t="s">
        <v>166</v>
      </c>
      <c r="H5" s="255"/>
      <c r="I5" s="1"/>
      <c r="J5" s="114"/>
    </row>
    <row r="6" spans="1:12">
      <c r="B6" s="256"/>
      <c r="C6" s="58"/>
      <c r="D6" s="257"/>
      <c r="E6" s="31"/>
      <c r="F6" s="31"/>
      <c r="I6" s="1"/>
      <c r="J6" s="114"/>
    </row>
    <row r="7" spans="1:12">
      <c r="B7" s="256"/>
      <c r="C7" s="58"/>
      <c r="D7" s="258"/>
      <c r="E7" s="31"/>
      <c r="F7" s="31"/>
      <c r="I7" s="1"/>
      <c r="J7" s="114"/>
    </row>
    <row r="8" spans="1:12">
      <c r="B8" s="256"/>
      <c r="C8" s="58"/>
      <c r="D8" s="257"/>
      <c r="E8" s="31"/>
      <c r="F8" s="31"/>
      <c r="I8" s="1"/>
      <c r="J8" s="114"/>
    </row>
    <row r="9" spans="1:12">
      <c r="B9" s="256"/>
      <c r="C9" s="58"/>
      <c r="D9" s="257"/>
      <c r="E9" s="31"/>
      <c r="F9" s="31"/>
      <c r="I9" s="1"/>
      <c r="J9" s="114"/>
    </row>
    <row r="10" spans="1:12">
      <c r="B10" s="256"/>
      <c r="C10" s="58"/>
      <c r="D10" s="257"/>
      <c r="E10" s="31"/>
      <c r="F10" s="31"/>
      <c r="I10" s="1"/>
      <c r="J10" s="114"/>
    </row>
    <row r="11" spans="1:12">
      <c r="B11" s="256"/>
      <c r="C11" s="58"/>
      <c r="D11" s="257"/>
      <c r="E11" s="31"/>
      <c r="F11" s="31"/>
      <c r="I11" s="1"/>
      <c r="J11" s="259"/>
    </row>
    <row r="12" spans="1:12">
      <c r="B12" s="260"/>
      <c r="D12" s="54"/>
      <c r="E12" s="261"/>
      <c r="I12" s="1"/>
      <c r="J12" s="259"/>
    </row>
    <row r="13" spans="1:12">
      <c r="B13" s="249" t="s">
        <v>167</v>
      </c>
      <c r="C13" s="250"/>
      <c r="D13" s="54"/>
      <c r="K13" s="114"/>
    </row>
    <row r="14" spans="1:12">
      <c r="B14" s="68" t="s">
        <v>162</v>
      </c>
      <c r="C14" s="68" t="s">
        <v>163</v>
      </c>
      <c r="E14" s="252"/>
      <c r="F14" s="252"/>
      <c r="G14" s="252"/>
      <c r="H14" s="680"/>
      <c r="I14" s="680"/>
      <c r="J14" s="1"/>
    </row>
    <row r="15" spans="1:12">
      <c r="B15" s="256"/>
      <c r="C15" s="58"/>
      <c r="L15" s="18"/>
    </row>
    <row r="16" spans="1:12">
      <c r="B16" s="256"/>
      <c r="C16" s="58"/>
      <c r="L16" s="18"/>
    </row>
    <row r="17" spans="1:16">
      <c r="B17" s="256"/>
      <c r="C17" s="58"/>
      <c r="K17" s="39"/>
      <c r="L17" s="18"/>
    </row>
    <row r="18" spans="1:16">
      <c r="B18" s="260"/>
      <c r="D18" s="54"/>
      <c r="K18" s="39"/>
      <c r="L18" s="18"/>
    </row>
    <row r="19" spans="1:16">
      <c r="B19" s="249" t="s">
        <v>132</v>
      </c>
      <c r="C19" s="250"/>
      <c r="D19" s="251"/>
      <c r="E19" s="251"/>
      <c r="F19" s="251"/>
      <c r="G19" s="251"/>
      <c r="H19" s="251"/>
      <c r="K19" s="114"/>
    </row>
    <row r="20" spans="1:16" ht="30">
      <c r="B20" s="68" t="s">
        <v>162</v>
      </c>
      <c r="C20" s="68" t="s">
        <v>163</v>
      </c>
      <c r="D20" s="68" t="s">
        <v>168</v>
      </c>
      <c r="E20" s="68" t="s">
        <v>169</v>
      </c>
      <c r="F20" s="68" t="s">
        <v>170</v>
      </c>
      <c r="G20" s="254" t="s">
        <v>165</v>
      </c>
      <c r="H20" s="68" t="s">
        <v>166</v>
      </c>
      <c r="K20" s="39"/>
      <c r="L20" s="18"/>
    </row>
    <row r="21" spans="1:16">
      <c r="B21" s="29"/>
      <c r="C21" s="58"/>
      <c r="D21" s="58"/>
      <c r="E21" s="58"/>
      <c r="F21" s="262"/>
      <c r="G21" s="58"/>
      <c r="H21" s="31"/>
      <c r="K21" s="39"/>
      <c r="L21" s="18"/>
    </row>
    <row r="22" spans="1:16">
      <c r="B22" s="29"/>
      <c r="C22" s="58"/>
      <c r="D22" s="58"/>
      <c r="E22" s="58"/>
      <c r="F22" s="262"/>
      <c r="G22" s="58"/>
      <c r="H22" s="31"/>
      <c r="K22" s="39"/>
      <c r="L22" s="18"/>
    </row>
    <row r="23" spans="1:16">
      <c r="B23" s="29"/>
      <c r="C23" s="58"/>
      <c r="D23" s="58"/>
      <c r="E23" s="58"/>
      <c r="F23" s="262"/>
      <c r="G23" s="58"/>
      <c r="H23" s="31"/>
      <c r="K23" s="39"/>
      <c r="L23" s="18"/>
    </row>
    <row r="24" spans="1:16">
      <c r="B24" s="29"/>
      <c r="C24" s="58"/>
      <c r="D24" s="58"/>
      <c r="E24" s="58"/>
      <c r="F24" s="262"/>
      <c r="G24" s="58"/>
      <c r="H24" s="31"/>
      <c r="K24" s="39"/>
      <c r="L24" s="18"/>
    </row>
    <row r="25" spans="1:16">
      <c r="B25" s="29"/>
      <c r="C25" s="58"/>
      <c r="D25" s="58"/>
      <c r="E25" s="58"/>
      <c r="F25" s="262"/>
      <c r="G25" s="58"/>
      <c r="H25" s="31"/>
      <c r="K25" s="39"/>
      <c r="L25" s="18"/>
    </row>
    <row r="26" spans="1:16">
      <c r="B26" s="29"/>
      <c r="C26" s="58"/>
      <c r="D26" s="58"/>
      <c r="E26" s="58"/>
      <c r="F26" s="262"/>
      <c r="G26" s="58"/>
      <c r="H26" s="31"/>
      <c r="K26" s="39"/>
      <c r="L26" s="18"/>
    </row>
    <row r="27" spans="1:16">
      <c r="B27" s="29"/>
      <c r="C27" s="58"/>
      <c r="D27" s="58"/>
      <c r="E27" s="262"/>
      <c r="F27" s="262"/>
      <c r="G27" s="58"/>
      <c r="H27" s="31"/>
      <c r="K27" s="39"/>
      <c r="L27" s="18"/>
    </row>
    <row r="28" spans="1:16">
      <c r="B28" s="29"/>
      <c r="C28" s="58"/>
      <c r="D28" s="58"/>
      <c r="E28" s="262"/>
      <c r="F28" s="262"/>
      <c r="G28" s="58"/>
      <c r="H28" s="31"/>
      <c r="K28" s="39"/>
      <c r="L28" s="18"/>
    </row>
    <row r="29" spans="1:16">
      <c r="B29" s="29"/>
      <c r="C29" s="58"/>
      <c r="D29" s="58"/>
      <c r="E29" s="262"/>
      <c r="F29" s="262"/>
      <c r="G29" s="58"/>
      <c r="H29" s="31"/>
      <c r="K29" s="39"/>
      <c r="L29" s="18"/>
    </row>
    <row r="30" spans="1:16">
      <c r="B30" s="263" t="s">
        <v>171</v>
      </c>
      <c r="C30" s="60">
        <v>0</v>
      </c>
      <c r="D30" s="264"/>
      <c r="E30" s="264"/>
      <c r="F30" s="264"/>
      <c r="G30" s="264"/>
      <c r="H30" s="264"/>
      <c r="K30" s="32"/>
      <c r="L30" s="18"/>
    </row>
    <row r="31" spans="1:16">
      <c r="B31" s="265"/>
      <c r="C31" s="1"/>
      <c r="D31" s="27"/>
      <c r="E31" s="1"/>
      <c r="K31" s="14"/>
      <c r="L31" s="14"/>
      <c r="M31" s="14"/>
      <c r="N31" s="14"/>
      <c r="O31" s="14"/>
      <c r="P31" s="14"/>
    </row>
    <row r="32" spans="1:16" s="18" customFormat="1">
      <c r="A32" s="17"/>
      <c r="B32" s="266" t="s">
        <v>172</v>
      </c>
      <c r="C32" s="267"/>
      <c r="D32" s="27"/>
      <c r="E32" s="1"/>
      <c r="F32" s="14"/>
      <c r="G32" s="14"/>
      <c r="H32" s="14"/>
      <c r="I32" s="14"/>
      <c r="J32" s="14"/>
      <c r="K32" s="268"/>
      <c r="L32" s="268"/>
    </row>
    <row r="33" spans="1:13">
      <c r="B33" s="269" t="s">
        <v>173</v>
      </c>
      <c r="C33" s="270"/>
      <c r="E33" s="38"/>
      <c r="F33" s="38"/>
      <c r="G33" s="38"/>
      <c r="H33" s="38"/>
      <c r="I33" s="38"/>
      <c r="J33" s="38"/>
      <c r="K33" s="271"/>
      <c r="L33" s="268"/>
    </row>
    <row r="34" spans="1:13" ht="30">
      <c r="B34" s="272" t="s">
        <v>678</v>
      </c>
      <c r="C34" s="58"/>
      <c r="H34" s="54"/>
      <c r="J34" s="1"/>
    </row>
    <row r="35" spans="1:13" ht="30">
      <c r="B35" s="269" t="s">
        <v>174</v>
      </c>
      <c r="C35" s="58"/>
      <c r="I35" s="1"/>
      <c r="J35" s="1"/>
    </row>
    <row r="36" spans="1:13" ht="15.75" thickBot="1">
      <c r="B36" s="471"/>
      <c r="C36" s="54"/>
      <c r="I36" s="1"/>
      <c r="J36" s="1"/>
    </row>
    <row r="37" spans="1:13" ht="29.25" customHeight="1" thickBot="1">
      <c r="B37" s="471"/>
      <c r="C37" s="682" t="str">
        <f>'Balance Sheet '!B3</f>
        <v xml:space="preserve">Historical Data </v>
      </c>
      <c r="D37" s="683"/>
      <c r="E37" s="683"/>
      <c r="F37" s="683"/>
      <c r="G37" s="683"/>
      <c r="H37" s="683"/>
      <c r="I37" s="683"/>
      <c r="J37" s="684"/>
      <c r="K37" s="685" t="str">
        <f>'Balance Sheet '!K3</f>
        <v xml:space="preserve">Projections </v>
      </c>
      <c r="L37" s="683"/>
      <c r="M37" s="686"/>
    </row>
    <row r="38" spans="1:13" ht="29.25" customHeight="1">
      <c r="B38" s="471"/>
      <c r="C38" s="662">
        <f>'Balance Sheet '!B4</f>
        <v>2019</v>
      </c>
      <c r="D38" s="665">
        <f>'Balance Sheet '!C4</f>
        <v>2020</v>
      </c>
      <c r="E38" s="668">
        <f>'Balance Sheet '!D4</f>
        <v>2021</v>
      </c>
      <c r="F38" s="660" t="str">
        <f>'Balance Sheet '!E4</f>
        <v>Q1/2022</v>
      </c>
      <c r="G38" s="660" t="str">
        <f>'Balance Sheet '!F4</f>
        <v>Q2/2022</v>
      </c>
      <c r="H38" s="660" t="str">
        <f>'Balance Sheet '!G4</f>
        <v>Q3/2022</v>
      </c>
      <c r="I38" s="660" t="str">
        <f>'Balance Sheet '!H4</f>
        <v>Q4/2022</v>
      </c>
      <c r="J38" s="671">
        <f>'Balance Sheet '!I4</f>
        <v>2022</v>
      </c>
      <c r="K38" s="674">
        <f>'Balance Sheet '!K4</f>
        <v>2023</v>
      </c>
      <c r="L38" s="665">
        <f>'Balance Sheet '!L4</f>
        <v>2024</v>
      </c>
      <c r="M38" s="677">
        <f>'Balance Sheet '!M4</f>
        <v>2025</v>
      </c>
    </row>
    <row r="39" spans="1:13" ht="29.25" customHeight="1">
      <c r="B39" s="471"/>
      <c r="C39" s="663"/>
      <c r="D39" s="666"/>
      <c r="E39" s="669"/>
      <c r="F39" s="661"/>
      <c r="G39" s="661"/>
      <c r="H39" s="661"/>
      <c r="I39" s="661"/>
      <c r="J39" s="672"/>
      <c r="K39" s="675"/>
      <c r="L39" s="666"/>
      <c r="M39" s="678"/>
    </row>
    <row r="40" spans="1:13" ht="15.75" thickBot="1">
      <c r="A40" s="9"/>
      <c r="B40" s="471"/>
      <c r="C40" s="664"/>
      <c r="D40" s="667"/>
      <c r="E40" s="670"/>
      <c r="F40" s="112">
        <f>'Balance Sheet '!E6</f>
        <v>0</v>
      </c>
      <c r="G40" s="112">
        <f>'Balance Sheet '!F6</f>
        <v>0</v>
      </c>
      <c r="H40" s="112">
        <f>'Balance Sheet '!G6</f>
        <v>0</v>
      </c>
      <c r="I40" s="112">
        <f>'Balance Sheet '!H6</f>
        <v>0</v>
      </c>
      <c r="J40" s="673"/>
      <c r="K40" s="676"/>
      <c r="L40" s="667"/>
      <c r="M40" s="679"/>
    </row>
    <row r="41" spans="1:13" ht="19.5" customHeight="1">
      <c r="A41" s="9"/>
      <c r="B41" s="398" t="s">
        <v>424</v>
      </c>
      <c r="C41" s="398"/>
      <c r="D41" s="398"/>
      <c r="E41" s="398"/>
      <c r="F41" s="398"/>
      <c r="G41" s="398"/>
      <c r="H41" s="398"/>
      <c r="I41" s="398"/>
      <c r="J41" s="398"/>
      <c r="K41" s="398"/>
      <c r="L41" s="398"/>
      <c r="M41" s="398"/>
    </row>
    <row r="42" spans="1:13" ht="19.5" customHeight="1">
      <c r="A42" s="9"/>
      <c r="B42" s="45" t="s">
        <v>208</v>
      </c>
      <c r="C42" s="80">
        <v>15</v>
      </c>
      <c r="D42" s="86">
        <v>20</v>
      </c>
      <c r="E42" s="53">
        <v>25</v>
      </c>
      <c r="F42" s="53">
        <v>30</v>
      </c>
      <c r="G42" s="53">
        <v>30</v>
      </c>
      <c r="H42" s="53">
        <v>30</v>
      </c>
      <c r="I42" s="399">
        <v>45</v>
      </c>
      <c r="J42" s="345">
        <v>45</v>
      </c>
      <c r="K42" s="57">
        <v>50</v>
      </c>
      <c r="L42" s="57">
        <v>50</v>
      </c>
      <c r="M42" s="57">
        <v>50</v>
      </c>
    </row>
    <row r="43" spans="1:13" ht="19.5" customHeight="1">
      <c r="A43" s="9"/>
      <c r="B43" s="45" t="s">
        <v>209</v>
      </c>
      <c r="C43" s="81">
        <f t="shared" ref="C43:I43" si="0">+SUM(C41:C42)</f>
        <v>15</v>
      </c>
      <c r="D43" s="87">
        <f t="shared" si="0"/>
        <v>20</v>
      </c>
      <c r="E43" s="64">
        <f t="shared" si="0"/>
        <v>25</v>
      </c>
      <c r="F43" s="59">
        <f t="shared" si="0"/>
        <v>30</v>
      </c>
      <c r="G43" s="59">
        <f t="shared" si="0"/>
        <v>30</v>
      </c>
      <c r="H43" s="65">
        <f t="shared" si="0"/>
        <v>30</v>
      </c>
      <c r="I43" s="402">
        <f t="shared" si="0"/>
        <v>45</v>
      </c>
      <c r="J43" s="352"/>
      <c r="K43" s="65"/>
      <c r="L43" s="59"/>
      <c r="M43" s="59"/>
    </row>
    <row r="44" spans="1:13" ht="19.5" customHeight="1">
      <c r="A44" s="9"/>
      <c r="B44" s="45" t="s">
        <v>210</v>
      </c>
      <c r="C44" s="81"/>
      <c r="D44" s="87"/>
      <c r="E44" s="59"/>
      <c r="F44" s="59"/>
      <c r="G44" s="59"/>
      <c r="H44" s="59"/>
      <c r="I44" s="472"/>
      <c r="J44" s="473"/>
      <c r="K44" s="59"/>
      <c r="L44" s="59"/>
      <c r="M44" s="59"/>
    </row>
    <row r="45" spans="1:13" ht="19.5" customHeight="1">
      <c r="A45" s="9"/>
      <c r="B45" s="24" t="s">
        <v>161</v>
      </c>
      <c r="C45" s="81"/>
      <c r="D45" s="87"/>
      <c r="E45" s="59"/>
      <c r="F45" s="59"/>
      <c r="G45" s="59"/>
      <c r="H45" s="59"/>
      <c r="I45" s="472"/>
      <c r="J45" s="473"/>
      <c r="K45" s="59"/>
      <c r="L45" s="59"/>
      <c r="M45" s="59"/>
    </row>
    <row r="46" spans="1:13" ht="19.5" customHeight="1">
      <c r="A46" s="9"/>
      <c r="B46" s="398" t="s">
        <v>423</v>
      </c>
      <c r="C46" s="398"/>
      <c r="D46" s="398"/>
      <c r="E46" s="398"/>
      <c r="F46" s="398"/>
      <c r="G46" s="398"/>
      <c r="H46" s="398"/>
      <c r="I46" s="398"/>
      <c r="J46" s="398"/>
      <c r="K46" s="398"/>
      <c r="L46" s="398"/>
      <c r="M46" s="398"/>
    </row>
    <row r="47" spans="1:13" ht="19.5" customHeight="1">
      <c r="A47" s="9"/>
      <c r="B47" s="45" t="s">
        <v>422</v>
      </c>
      <c r="C47" s="80"/>
      <c r="D47" s="86"/>
      <c r="E47" s="53"/>
      <c r="F47" s="53"/>
      <c r="G47" s="53"/>
      <c r="H47" s="53"/>
      <c r="I47" s="399">
        <f>IFERROR(SUMIF('Portfolio details  '!$F$5:$I$5,'Portfolio details  '!$D$2,E47:H47),0)</f>
        <v>0</v>
      </c>
      <c r="J47" s="345"/>
      <c r="K47" s="57"/>
      <c r="L47" s="57"/>
      <c r="M47" s="57"/>
    </row>
    <row r="48" spans="1:13" ht="19.5" customHeight="1">
      <c r="A48" s="9"/>
      <c r="B48" s="48" t="s">
        <v>211</v>
      </c>
      <c r="C48" s="80"/>
      <c r="D48" s="86"/>
      <c r="E48" s="53"/>
      <c r="F48" s="53"/>
      <c r="G48" s="53"/>
      <c r="H48" s="53"/>
      <c r="I48" s="399">
        <f>IFERROR(SUMIF('Portfolio details  '!$F$5:$I$5,'Portfolio details  '!$D$2,E48:H48),0)</f>
        <v>0</v>
      </c>
      <c r="J48" s="345"/>
      <c r="K48" s="57"/>
      <c r="L48" s="57"/>
      <c r="M48" s="57"/>
    </row>
    <row r="49" spans="1:15" ht="19.5" customHeight="1">
      <c r="A49" s="9"/>
      <c r="B49" s="49" t="s">
        <v>212</v>
      </c>
      <c r="C49" s="80"/>
      <c r="D49" s="86"/>
      <c r="E49" s="53"/>
      <c r="F49" s="53"/>
      <c r="G49" s="53"/>
      <c r="H49" s="53"/>
      <c r="I49" s="399">
        <f>IFERROR(SUMIF('Portfolio details  '!$F$5:$I$5,'Portfolio details  '!$D$2,E49:H49),0)</f>
        <v>0</v>
      </c>
      <c r="J49" s="345"/>
      <c r="K49" s="57"/>
      <c r="L49" s="57"/>
      <c r="M49" s="57"/>
    </row>
    <row r="50" spans="1:15">
      <c r="A50" s="9"/>
      <c r="B50" s="97" t="s">
        <v>213</v>
      </c>
      <c r="C50" s="72">
        <f>SUM(C48:C49)</f>
        <v>0</v>
      </c>
      <c r="D50" s="72">
        <f t="shared" ref="D50:I50" si="1">SUM(D48:D49)</f>
        <v>0</v>
      </c>
      <c r="E50" s="72">
        <f t="shared" si="1"/>
        <v>0</v>
      </c>
      <c r="F50" s="72">
        <f t="shared" si="1"/>
        <v>0</v>
      </c>
      <c r="G50" s="72">
        <f t="shared" si="1"/>
        <v>0</v>
      </c>
      <c r="H50" s="72">
        <f t="shared" si="1"/>
        <v>0</v>
      </c>
      <c r="I50" s="72">
        <f t="shared" si="1"/>
        <v>0</v>
      </c>
      <c r="J50" s="352"/>
      <c r="K50" s="72">
        <f>SUM(K48:K49)</f>
        <v>0</v>
      </c>
      <c r="L50" s="72">
        <f>SUM(L48:L49)</f>
        <v>0</v>
      </c>
      <c r="M50" s="72">
        <f>SUM(M48:M49)</f>
        <v>0</v>
      </c>
      <c r="N50" s="9"/>
      <c r="O50" s="14"/>
    </row>
    <row r="51" spans="1:15">
      <c r="B51" s="21"/>
    </row>
  </sheetData>
  <mergeCells count="16">
    <mergeCell ref="H4:I4"/>
    <mergeCell ref="H14:I14"/>
    <mergeCell ref="B3:H3"/>
    <mergeCell ref="C37:J37"/>
    <mergeCell ref="K37:M37"/>
    <mergeCell ref="I38:I39"/>
    <mergeCell ref="J38:J40"/>
    <mergeCell ref="K38:K40"/>
    <mergeCell ref="L38:L40"/>
    <mergeCell ref="M38:M40"/>
    <mergeCell ref="H38:H39"/>
    <mergeCell ref="C38:C40"/>
    <mergeCell ref="D38:D40"/>
    <mergeCell ref="E38:E40"/>
    <mergeCell ref="F38:F39"/>
    <mergeCell ref="G38:G39"/>
  </mergeCells>
  <pageMargins left="0.7" right="0.7" top="0.75" bottom="0.75" header="0.3" footer="0.3"/>
  <pageSetup scale="56" orientation="portrait" r:id="rId1"/>
  <colBreaks count="1" manualBreakCount="1">
    <brk id="8" max="3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6:U72"/>
  <sheetViews>
    <sheetView topLeftCell="A23" zoomScale="85" zoomScaleNormal="85" workbookViewId="0">
      <selection sqref="A1:D38"/>
    </sheetView>
  </sheetViews>
  <sheetFormatPr defaultRowHeight="15"/>
  <cols>
    <col min="1" max="1" width="28.140625" style="457" customWidth="1"/>
    <col min="2" max="2" width="103" style="457" customWidth="1"/>
    <col min="3" max="3" width="24.85546875" customWidth="1"/>
    <col min="4" max="4" width="52.5703125" customWidth="1"/>
    <col min="6" max="9" width="8.85546875" hidden="1" customWidth="1"/>
    <col min="10" max="11" width="8.85546875" customWidth="1"/>
    <col min="12" max="12" width="37.42578125" style="570" customWidth="1"/>
    <col min="13" max="21" width="9.140625" style="570" customWidth="1"/>
    <col min="22" max="22" width="9.140625" customWidth="1"/>
  </cols>
  <sheetData>
    <row r="6" spans="1:13" ht="18.75" customHeight="1">
      <c r="A6" s="310"/>
      <c r="B6" s="311"/>
      <c r="C6" s="311"/>
      <c r="D6" s="311"/>
      <c r="L6" s="580" t="s">
        <v>540</v>
      </c>
      <c r="M6" s="581">
        <f>D16</f>
        <v>0.65714285714285714</v>
      </c>
    </row>
    <row r="7" spans="1:13" ht="56.25" customHeight="1" thickBot="1">
      <c r="A7" s="510" t="s">
        <v>468</v>
      </c>
      <c r="B7" s="510" t="s">
        <v>541</v>
      </c>
      <c r="C7" s="510" t="s">
        <v>570</v>
      </c>
      <c r="D7" s="510" t="s">
        <v>568</v>
      </c>
      <c r="I7">
        <v>1</v>
      </c>
      <c r="L7" s="580" t="str">
        <f>A17</f>
        <v xml:space="preserve">Governance </v>
      </c>
      <c r="M7" s="581">
        <f>D29</f>
        <v>0.71111111111111114</v>
      </c>
    </row>
    <row r="8" spans="1:13" ht="19.5" thickBot="1">
      <c r="A8" s="486"/>
      <c r="B8" s="486" t="s">
        <v>670</v>
      </c>
      <c r="C8" s="6">
        <v>2</v>
      </c>
      <c r="D8" s="509"/>
      <c r="I8">
        <v>2</v>
      </c>
      <c r="L8" s="580" t="str">
        <f>A30</f>
        <v>Financial statements reporting:</v>
      </c>
      <c r="M8" s="581">
        <f>D42</f>
        <v>0.26666666666666666</v>
      </c>
    </row>
    <row r="9" spans="1:13" ht="19.5" thickBot="1">
      <c r="A9" s="486"/>
      <c r="B9" s="486" t="s">
        <v>577</v>
      </c>
      <c r="C9" s="6">
        <v>3</v>
      </c>
      <c r="D9" s="509"/>
      <c r="I9">
        <v>3</v>
      </c>
      <c r="L9" s="580" t="str">
        <f>A43</f>
        <v xml:space="preserve">Manuals and Procedures </v>
      </c>
      <c r="M9" s="581">
        <f>D54</f>
        <v>0.4</v>
      </c>
    </row>
    <row r="10" spans="1:13" ht="38.25" thickBot="1">
      <c r="A10" s="486"/>
      <c r="B10" s="486" t="s">
        <v>576</v>
      </c>
      <c r="C10" s="6">
        <v>5</v>
      </c>
      <c r="D10" s="509"/>
      <c r="I10">
        <v>4</v>
      </c>
      <c r="L10" s="580" t="str">
        <f>A55</f>
        <v xml:space="preserve">Social performance </v>
      </c>
      <c r="M10" s="581">
        <f>D71</f>
        <v>0.55714285714285716</v>
      </c>
    </row>
    <row r="11" spans="1:13" ht="38.25" thickBot="1">
      <c r="A11" s="486"/>
      <c r="B11" s="486" t="s">
        <v>578</v>
      </c>
      <c r="C11" s="6">
        <v>3</v>
      </c>
      <c r="D11" s="509"/>
      <c r="I11">
        <v>5</v>
      </c>
      <c r="L11" s="580"/>
      <c r="M11" s="581"/>
    </row>
    <row r="12" spans="1:13" ht="19.5" thickBot="1">
      <c r="A12" s="486"/>
      <c r="B12" s="486" t="s">
        <v>658</v>
      </c>
      <c r="C12" s="6">
        <v>4</v>
      </c>
      <c r="D12" s="509"/>
    </row>
    <row r="13" spans="1:13" ht="38.25" thickBot="1">
      <c r="A13" s="486"/>
      <c r="B13" s="486" t="s">
        <v>659</v>
      </c>
      <c r="C13" s="6">
        <v>2</v>
      </c>
      <c r="D13" s="518"/>
    </row>
    <row r="14" spans="1:13" ht="19.5" thickBot="1">
      <c r="A14" s="486"/>
      <c r="B14" s="486" t="s">
        <v>660</v>
      </c>
      <c r="C14" s="6">
        <v>4</v>
      </c>
      <c r="D14" s="518"/>
    </row>
    <row r="15" spans="1:13" ht="19.5" hidden="1" thickBot="1">
      <c r="A15" s="486"/>
      <c r="B15" s="486"/>
      <c r="C15" s="533"/>
      <c r="D15" s="533">
        <f>COUNTIF(C8:C14,"&gt;=1")</f>
        <v>7</v>
      </c>
    </row>
    <row r="16" spans="1:13" ht="18.75">
      <c r="A16" s="514" t="s">
        <v>375</v>
      </c>
      <c r="B16" s="514"/>
      <c r="C16" s="533">
        <f>SUM(C8:C14)</f>
        <v>23</v>
      </c>
      <c r="D16" s="536">
        <f>C16/(COUNTIF(C8:C14,"&gt;=1")*5)</f>
        <v>0.65714285714285714</v>
      </c>
    </row>
    <row r="17" spans="1:4" ht="15.75" thickBot="1">
      <c r="A17" s="510" t="s">
        <v>569</v>
      </c>
      <c r="B17" s="523"/>
      <c r="C17" s="524"/>
      <c r="D17" s="524"/>
    </row>
    <row r="18" spans="1:4" ht="38.25" thickBot="1">
      <c r="A18" s="486"/>
      <c r="B18" s="486" t="s">
        <v>579</v>
      </c>
      <c r="C18" s="6">
        <v>1</v>
      </c>
      <c r="D18" s="518"/>
    </row>
    <row r="19" spans="1:4" ht="57" thickBot="1">
      <c r="A19" s="486"/>
      <c r="B19" s="486" t="s">
        <v>580</v>
      </c>
      <c r="C19" s="6">
        <v>2</v>
      </c>
      <c r="D19" s="518"/>
    </row>
    <row r="20" spans="1:4" ht="38.25" thickBot="1">
      <c r="A20" s="486"/>
      <c r="B20" s="486" t="s">
        <v>581</v>
      </c>
      <c r="C20" s="6">
        <v>3</v>
      </c>
      <c r="D20" s="518"/>
    </row>
    <row r="21" spans="1:4" ht="19.5" thickBot="1">
      <c r="A21" s="486"/>
      <c r="B21" s="486" t="s">
        <v>582</v>
      </c>
      <c r="C21" s="6">
        <v>4</v>
      </c>
      <c r="D21" s="518"/>
    </row>
    <row r="22" spans="1:4" ht="27.75" customHeight="1" thickBot="1">
      <c r="A22" s="486"/>
      <c r="B22" s="486" t="s">
        <v>661</v>
      </c>
      <c r="C22" s="6">
        <v>5</v>
      </c>
      <c r="D22" s="518"/>
    </row>
    <row r="23" spans="1:4" ht="27.75" customHeight="1" thickBot="1">
      <c r="A23" s="486"/>
      <c r="B23" s="515" t="s">
        <v>571</v>
      </c>
      <c r="C23" s="6">
        <v>5</v>
      </c>
      <c r="D23" s="509"/>
    </row>
    <row r="24" spans="1:4" ht="19.5" thickBot="1">
      <c r="A24" s="486"/>
      <c r="B24" s="515" t="s">
        <v>572</v>
      </c>
      <c r="C24" s="6">
        <v>5</v>
      </c>
      <c r="D24" s="509"/>
    </row>
    <row r="25" spans="1:4" ht="19.5" thickBot="1">
      <c r="A25" s="486"/>
      <c r="B25" s="516" t="s">
        <v>573</v>
      </c>
      <c r="C25" s="6">
        <v>4</v>
      </c>
      <c r="D25" s="518"/>
    </row>
    <row r="26" spans="1:4" ht="19.5" thickBot="1">
      <c r="A26" s="486"/>
      <c r="B26" s="486" t="s">
        <v>662</v>
      </c>
      <c r="C26" s="6">
        <v>3</v>
      </c>
      <c r="D26" s="518"/>
    </row>
    <row r="27" spans="1:4" ht="19.5" thickBot="1">
      <c r="A27" s="486"/>
      <c r="B27" s="486"/>
      <c r="C27" s="6"/>
      <c r="D27" s="518"/>
    </row>
    <row r="28" spans="1:4" ht="19.5" hidden="1" thickBot="1">
      <c r="A28" s="486"/>
      <c r="B28" s="486"/>
      <c r="C28" s="533"/>
      <c r="D28" s="533">
        <f>COUNTIF(C18:C27,"&gt;=1")</f>
        <v>9</v>
      </c>
    </row>
    <row r="29" spans="1:4" ht="18.75">
      <c r="A29" s="514" t="s">
        <v>375</v>
      </c>
      <c r="B29" s="514"/>
      <c r="C29" s="533">
        <f>SUM(C18:C27)</f>
        <v>32</v>
      </c>
      <c r="D29" s="536">
        <f>C29/(COUNTIF(C18:C27,"&gt;=1")*5)</f>
        <v>0.71111111111111114</v>
      </c>
    </row>
    <row r="30" spans="1:4" ht="30.75" thickBot="1">
      <c r="A30" s="510" t="s">
        <v>574</v>
      </c>
      <c r="B30" s="523"/>
      <c r="C30" s="525"/>
      <c r="D30" s="525"/>
    </row>
    <row r="31" spans="1:4" ht="32.25" customHeight="1" thickBot="1">
      <c r="A31" s="486"/>
      <c r="B31" s="486" t="s">
        <v>583</v>
      </c>
      <c r="C31" s="6">
        <v>5</v>
      </c>
      <c r="D31" s="509"/>
    </row>
    <row r="32" spans="1:4" ht="19.5" thickBot="1">
      <c r="A32" s="486"/>
      <c r="B32" s="486" t="s">
        <v>663</v>
      </c>
      <c r="C32" s="6">
        <v>2</v>
      </c>
      <c r="D32" s="509"/>
    </row>
    <row r="33" spans="1:4" ht="38.25" thickBot="1">
      <c r="A33" s="486"/>
      <c r="B33" s="486" t="s">
        <v>584</v>
      </c>
      <c r="C33" s="6">
        <v>2</v>
      </c>
      <c r="D33" s="509"/>
    </row>
    <row r="34" spans="1:4" ht="38.25" thickBot="1">
      <c r="A34" s="486"/>
      <c r="B34" s="486" t="s">
        <v>664</v>
      </c>
      <c r="C34" s="6">
        <v>3</v>
      </c>
      <c r="D34" s="518"/>
    </row>
    <row r="35" spans="1:4" ht="19.5" thickBot="1">
      <c r="A35" s="486"/>
      <c r="B35" s="486" t="s">
        <v>671</v>
      </c>
      <c r="C35" s="6">
        <v>2</v>
      </c>
      <c r="D35" s="518"/>
    </row>
    <row r="36" spans="1:4" ht="19.5" thickBot="1">
      <c r="A36" s="486"/>
      <c r="B36" s="486" t="s">
        <v>665</v>
      </c>
      <c r="C36" s="6">
        <v>2</v>
      </c>
      <c r="D36" s="518"/>
    </row>
    <row r="37" spans="1:4" ht="19.5" thickBot="1">
      <c r="A37" s="486"/>
      <c r="B37" s="486" t="s">
        <v>666</v>
      </c>
      <c r="C37" s="6">
        <v>3</v>
      </c>
      <c r="D37" s="518"/>
    </row>
    <row r="38" spans="1:4" ht="19.5" thickBot="1">
      <c r="A38" s="486"/>
      <c r="B38" s="486" t="s">
        <v>667</v>
      </c>
      <c r="C38" s="6">
        <v>1</v>
      </c>
      <c r="D38" s="518"/>
    </row>
    <row r="39" spans="1:4" ht="19.5" thickBot="1">
      <c r="A39" s="486"/>
      <c r="B39" s="486" t="s">
        <v>668</v>
      </c>
      <c r="C39" s="6">
        <v>4</v>
      </c>
      <c r="D39" s="518"/>
    </row>
    <row r="40" spans="1:4" ht="19.5" thickBot="1">
      <c r="A40" s="486"/>
      <c r="B40" s="486"/>
      <c r="C40" s="517"/>
      <c r="D40" s="518"/>
    </row>
    <row r="41" spans="1:4" ht="19.5" hidden="1" thickBot="1">
      <c r="A41" s="486"/>
      <c r="B41" s="486"/>
      <c r="C41" s="517"/>
      <c r="D41" s="533">
        <f>COUNTIF(C31:C40,"&gt;=1")</f>
        <v>9</v>
      </c>
    </row>
    <row r="42" spans="1:4" ht="18.75">
      <c r="A42" s="514" t="s">
        <v>375</v>
      </c>
      <c r="B42" s="514"/>
      <c r="C42" s="533">
        <f>SUM(C35:C41)</f>
        <v>12</v>
      </c>
      <c r="D42" s="536">
        <f>C42/(COUNTIF(C31:C41,"&gt;=1")*5)</f>
        <v>0.26666666666666666</v>
      </c>
    </row>
    <row r="43" spans="1:4" ht="33.75" customHeight="1" thickBot="1">
      <c r="A43" s="510" t="s">
        <v>537</v>
      </c>
      <c r="B43" s="523"/>
      <c r="C43" s="510"/>
      <c r="D43" s="510"/>
    </row>
    <row r="44" spans="1:4" ht="19.5" thickBot="1">
      <c r="A44" s="486"/>
      <c r="B44" s="486" t="s">
        <v>586</v>
      </c>
      <c r="C44" s="6">
        <v>2</v>
      </c>
      <c r="D44" s="509"/>
    </row>
    <row r="45" spans="1:4" ht="19.5" thickBot="1">
      <c r="A45" s="486"/>
      <c r="B45" s="486" t="s">
        <v>585</v>
      </c>
      <c r="C45" s="6">
        <v>2</v>
      </c>
      <c r="D45" s="509"/>
    </row>
    <row r="46" spans="1:4" ht="19.5" thickBot="1">
      <c r="A46" s="486"/>
      <c r="B46" s="486" t="s">
        <v>538</v>
      </c>
      <c r="C46" s="6">
        <v>2</v>
      </c>
      <c r="D46" s="509"/>
    </row>
    <row r="47" spans="1:4" ht="19.5" thickBot="1">
      <c r="A47" s="486"/>
      <c r="B47" s="486" t="s">
        <v>472</v>
      </c>
      <c r="C47" s="6">
        <v>2</v>
      </c>
      <c r="D47" s="509"/>
    </row>
    <row r="48" spans="1:4" ht="19.5" thickBot="1">
      <c r="A48" s="486"/>
      <c r="B48" s="486" t="s">
        <v>473</v>
      </c>
      <c r="C48" s="6">
        <v>2</v>
      </c>
      <c r="D48" s="509"/>
    </row>
    <row r="49" spans="1:10" ht="19.5" thickBot="1">
      <c r="A49" s="486"/>
      <c r="B49" s="486" t="s">
        <v>474</v>
      </c>
      <c r="C49" s="6">
        <v>2</v>
      </c>
      <c r="D49" s="509"/>
    </row>
    <row r="50" spans="1:10" ht="19.5" thickBot="1">
      <c r="A50" s="486"/>
      <c r="B50" s="486" t="s">
        <v>475</v>
      </c>
      <c r="C50" s="6">
        <v>2</v>
      </c>
      <c r="D50" s="509"/>
    </row>
    <row r="51" spans="1:10" ht="19.5" thickBot="1">
      <c r="A51" s="486"/>
      <c r="B51" s="486" t="s">
        <v>476</v>
      </c>
      <c r="C51" s="6">
        <v>2</v>
      </c>
      <c r="D51" s="509"/>
    </row>
    <row r="52" spans="1:10" ht="19.5" thickBot="1">
      <c r="A52" s="486"/>
      <c r="B52" s="486" t="s">
        <v>477</v>
      </c>
      <c r="C52" s="6">
        <v>2</v>
      </c>
      <c r="D52" s="514"/>
    </row>
    <row r="53" spans="1:10" ht="19.5" hidden="1" thickBot="1">
      <c r="A53" s="486"/>
      <c r="B53" s="486"/>
      <c r="C53" s="533"/>
      <c r="D53" s="533">
        <f>COUNTIF(C44:C52,"&gt;=1")</f>
        <v>9</v>
      </c>
    </row>
    <row r="54" spans="1:10" ht="18.75">
      <c r="A54" s="514" t="s">
        <v>375</v>
      </c>
      <c r="B54" s="514"/>
      <c r="C54" s="533">
        <f>SUM(C44:C52)</f>
        <v>18</v>
      </c>
      <c r="D54" s="536">
        <f>C54/(COUNTIF(C44:C52,"&gt;=1")*5)</f>
        <v>0.4</v>
      </c>
    </row>
    <row r="55" spans="1:10" ht="15.75" thickBot="1">
      <c r="A55" s="510" t="s">
        <v>534</v>
      </c>
      <c r="B55" s="510"/>
      <c r="C55" s="510"/>
      <c r="D55" s="510"/>
      <c r="J55" s="569" t="s">
        <v>703</v>
      </c>
    </row>
    <row r="56" spans="1:10" ht="19.5" thickBot="1">
      <c r="A56" s="486"/>
      <c r="B56" s="486" t="s">
        <v>587</v>
      </c>
      <c r="C56" s="6">
        <v>2</v>
      </c>
      <c r="D56" s="518"/>
    </row>
    <row r="57" spans="1:10" ht="19.5" thickBot="1">
      <c r="A57" s="486"/>
      <c r="B57" s="486" t="s">
        <v>588</v>
      </c>
      <c r="C57" s="6">
        <v>4</v>
      </c>
      <c r="D57" s="518"/>
    </row>
    <row r="58" spans="1:10" ht="38.25" thickBot="1">
      <c r="A58" s="486"/>
      <c r="B58" s="486" t="s">
        <v>575</v>
      </c>
      <c r="C58" s="6">
        <v>3</v>
      </c>
      <c r="D58" s="518"/>
    </row>
    <row r="59" spans="1:10" ht="17.649999999999999" customHeight="1" thickBot="1">
      <c r="A59" s="486"/>
      <c r="B59" s="486" t="s">
        <v>589</v>
      </c>
      <c r="C59" s="6">
        <v>3</v>
      </c>
      <c r="D59" s="518"/>
    </row>
    <row r="60" spans="1:10" ht="38.25" thickBot="1">
      <c r="A60" s="486"/>
      <c r="B60" s="486" t="s">
        <v>295</v>
      </c>
      <c r="C60" s="6">
        <v>2</v>
      </c>
      <c r="D60" s="518"/>
    </row>
    <row r="61" spans="1:10" ht="38.25" thickBot="1">
      <c r="A61" s="486"/>
      <c r="B61" s="486" t="s">
        <v>296</v>
      </c>
      <c r="C61" s="6">
        <v>4</v>
      </c>
      <c r="D61" s="518"/>
    </row>
    <row r="62" spans="1:10" ht="15" customHeight="1" thickBot="1">
      <c r="A62" s="486"/>
      <c r="B62" s="486" t="s">
        <v>297</v>
      </c>
      <c r="C62" s="6">
        <v>1</v>
      </c>
      <c r="D62" s="518"/>
    </row>
    <row r="63" spans="1:10" ht="15" customHeight="1" thickBot="1">
      <c r="A63" s="486"/>
      <c r="B63" s="486" t="s">
        <v>590</v>
      </c>
      <c r="C63" s="6">
        <v>3</v>
      </c>
      <c r="D63" s="518"/>
    </row>
    <row r="64" spans="1:10" ht="19.5" thickBot="1">
      <c r="A64" s="486"/>
      <c r="B64" s="486" t="s">
        <v>324</v>
      </c>
      <c r="C64" s="6">
        <v>3</v>
      </c>
      <c r="D64" s="518"/>
    </row>
    <row r="65" spans="1:4" ht="15" customHeight="1" thickBot="1">
      <c r="A65" s="486"/>
      <c r="B65" s="486" t="s">
        <v>325</v>
      </c>
      <c r="C65" s="6">
        <v>2</v>
      </c>
      <c r="D65" s="518"/>
    </row>
    <row r="66" spans="1:4" ht="19.5" thickBot="1">
      <c r="A66" s="486"/>
      <c r="B66" s="486" t="s">
        <v>326</v>
      </c>
      <c r="C66" s="6">
        <v>2</v>
      </c>
      <c r="D66" s="518"/>
    </row>
    <row r="67" spans="1:4" ht="19.5" thickBot="1">
      <c r="A67" s="486"/>
      <c r="B67" s="486" t="s">
        <v>327</v>
      </c>
      <c r="C67" s="6">
        <v>2</v>
      </c>
      <c r="D67" s="518"/>
    </row>
    <row r="68" spans="1:4" ht="19.5" thickBot="1">
      <c r="A68" s="486"/>
      <c r="B68" s="486" t="s">
        <v>669</v>
      </c>
      <c r="C68" s="6">
        <v>4</v>
      </c>
      <c r="D68" s="518"/>
    </row>
    <row r="69" spans="1:4" ht="38.25" customHeight="1" thickBot="1">
      <c r="A69" s="486"/>
      <c r="B69" s="568" t="s">
        <v>731</v>
      </c>
      <c r="C69" s="6">
        <v>4</v>
      </c>
      <c r="D69" s="518"/>
    </row>
    <row r="70" spans="1:4" ht="19.5" hidden="1" thickBot="1">
      <c r="A70" s="486"/>
      <c r="B70" s="486"/>
      <c r="C70" s="533"/>
      <c r="D70" s="533">
        <f>COUNTIF(C56:C69,"&gt;=1")</f>
        <v>14</v>
      </c>
    </row>
    <row r="71" spans="1:4" ht="19.5" thickBot="1">
      <c r="A71" s="514" t="s">
        <v>375</v>
      </c>
      <c r="B71" s="514"/>
      <c r="C71" s="597">
        <f>SUM(C56:C69)</f>
        <v>39</v>
      </c>
      <c r="D71" s="596">
        <f>C71/(COUNTIF(C56:C69,"&gt;=1")*5)</f>
        <v>0.55714285714285716</v>
      </c>
    </row>
    <row r="72" spans="1:4" ht="18.75">
      <c r="A72" s="514" t="s">
        <v>690</v>
      </c>
      <c r="B72" s="514"/>
      <c r="C72" s="597">
        <f>C71+C54+C42+C29+C16</f>
        <v>124</v>
      </c>
      <c r="D72" s="596">
        <f>C72/((D70+D53+D41+D28+D15)*5)</f>
        <v>0.51666666666666672</v>
      </c>
    </row>
  </sheetData>
  <dataValidations count="2">
    <dataValidation type="list" allowBlank="1" showInputMessage="1" showErrorMessage="1" sqref="C40:C41" xr:uid="{00000000-0002-0000-0400-000000000000}">
      <formula1>$I$6:$I$11</formula1>
    </dataValidation>
    <dataValidation type="list" allowBlank="1" showInputMessage="1" showErrorMessage="1" sqref="C8:C14 C56:C70 C31:C39 C18:C28 C44:C53" xr:uid="{00000000-0002-0000-0400-000001000000}">
      <formula1>$I$7:$I$11</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Y343"/>
  <sheetViews>
    <sheetView topLeftCell="A10" zoomScale="70" zoomScaleNormal="70" workbookViewId="0">
      <selection sqref="A1:D23"/>
    </sheetView>
  </sheetViews>
  <sheetFormatPr defaultColWidth="9" defaultRowHeight="20.25"/>
  <cols>
    <col min="1" max="1" width="26.5703125" style="457" customWidth="1"/>
    <col min="2" max="2" width="112.42578125" style="614" customWidth="1"/>
    <col min="3" max="3" width="24.5703125" style="7" customWidth="1"/>
    <col min="4" max="4" width="62.85546875" style="334" customWidth="1"/>
    <col min="5" max="5" width="4.28515625" style="334" customWidth="1"/>
    <col min="6" max="6" width="10.28515625" style="334" hidden="1" customWidth="1"/>
    <col min="7" max="7" width="8.140625" style="334" customWidth="1"/>
    <col min="8" max="9" width="9" style="334" customWidth="1"/>
    <col min="10" max="10" width="9" style="5" customWidth="1"/>
    <col min="11" max="11" width="40.28515625" style="582" hidden="1" customWidth="1"/>
    <col min="12" max="12" width="9" style="582" hidden="1" customWidth="1"/>
    <col min="13" max="13" width="8.5703125" style="582" hidden="1" customWidth="1"/>
    <col min="14" max="14" width="6.140625" style="582" bestFit="1" customWidth="1"/>
    <col min="15" max="15" width="20" style="582" customWidth="1"/>
    <col min="16" max="16" width="10.42578125" style="582" customWidth="1"/>
    <col min="17" max="25" width="9" style="582" customWidth="1"/>
    <col min="26" max="26" width="9" style="5" customWidth="1"/>
    <col min="27" max="16384" width="9" style="5"/>
  </cols>
  <sheetData>
    <row r="1" spans="1:25" ht="68.25" customHeight="1" thickBot="1">
      <c r="P1" s="583" t="s">
        <v>378</v>
      </c>
      <c r="V1" s="583" t="s">
        <v>377</v>
      </c>
    </row>
    <row r="2" spans="1:25" ht="19.5" customHeight="1" thickBot="1">
      <c r="A2" s="310"/>
      <c r="B2" s="615"/>
      <c r="C2" s="519"/>
      <c r="D2" s="519"/>
      <c r="K2" s="584" t="s">
        <v>350</v>
      </c>
      <c r="L2" s="582" t="s">
        <v>421</v>
      </c>
      <c r="M2" s="585">
        <f>D15</f>
        <v>0.5</v>
      </c>
      <c r="N2" s="585">
        <f>1-M2</f>
        <v>0.5</v>
      </c>
      <c r="O2" s="585"/>
      <c r="P2" s="585"/>
    </row>
    <row r="3" spans="1:25" s="620" customFormat="1" ht="67.5" customHeight="1" thickBot="1">
      <c r="A3" s="619" t="s">
        <v>350</v>
      </c>
      <c r="B3" s="619"/>
      <c r="C3" s="619" t="s">
        <v>737</v>
      </c>
      <c r="D3" s="619" t="s">
        <v>568</v>
      </c>
      <c r="K3" s="584" t="s">
        <v>351</v>
      </c>
      <c r="L3" s="582" t="s">
        <v>421</v>
      </c>
      <c r="M3" s="585">
        <f>D29</f>
        <v>0.42</v>
      </c>
      <c r="N3" s="585">
        <f t="shared" ref="N3:N13" si="0">1-M3</f>
        <v>0.58000000000000007</v>
      </c>
      <c r="O3" s="585"/>
      <c r="P3" s="585"/>
      <c r="Q3" s="621"/>
      <c r="R3" s="621"/>
      <c r="S3" s="621"/>
      <c r="T3" s="621"/>
      <c r="U3" s="621"/>
      <c r="V3" s="621"/>
      <c r="W3" s="621"/>
      <c r="X3" s="621"/>
      <c r="Y3" s="621"/>
    </row>
    <row r="4" spans="1:25" ht="37.5" customHeight="1" thickBot="1">
      <c r="A4" s="486"/>
      <c r="B4" s="617" t="s">
        <v>542</v>
      </c>
      <c r="C4" s="6">
        <v>2</v>
      </c>
      <c r="D4" s="518"/>
      <c r="K4" s="584" t="s">
        <v>349</v>
      </c>
      <c r="L4" s="582" t="s">
        <v>421</v>
      </c>
      <c r="M4" s="585">
        <f>D40</f>
        <v>0.52500000000000002</v>
      </c>
      <c r="N4" s="585">
        <f t="shared" si="0"/>
        <v>0.47499999999999998</v>
      </c>
      <c r="O4" s="585"/>
      <c r="P4" s="585"/>
    </row>
    <row r="5" spans="1:25" ht="37.5" customHeight="1" thickBot="1">
      <c r="A5" s="486"/>
      <c r="B5" s="617" t="s">
        <v>543</v>
      </c>
      <c r="C5" s="6">
        <v>3</v>
      </c>
      <c r="D5" s="518"/>
      <c r="K5" s="584" t="str">
        <f>A41</f>
        <v xml:space="preserve">Reputational risks </v>
      </c>
      <c r="L5" s="582" t="s">
        <v>421</v>
      </c>
      <c r="M5" s="585">
        <f>D50</f>
        <v>0.6</v>
      </c>
      <c r="N5" s="585">
        <f t="shared" si="0"/>
        <v>0.4</v>
      </c>
      <c r="O5" s="585"/>
      <c r="P5" s="585"/>
    </row>
    <row r="6" spans="1:25" ht="37.5" customHeight="1" thickBot="1">
      <c r="A6" s="486"/>
      <c r="B6" s="617" t="s">
        <v>544</v>
      </c>
      <c r="C6" s="6">
        <v>1</v>
      </c>
      <c r="D6" s="518"/>
      <c r="E6" s="508"/>
      <c r="K6" s="584" t="s">
        <v>114</v>
      </c>
      <c r="L6" s="582" t="s">
        <v>421</v>
      </c>
      <c r="M6" s="585">
        <f>D87</f>
        <v>0.6</v>
      </c>
      <c r="N6" s="585">
        <f t="shared" si="0"/>
        <v>0.4</v>
      </c>
      <c r="O6" s="585"/>
      <c r="P6" s="585"/>
    </row>
    <row r="7" spans="1:25" ht="37.5" customHeight="1" thickBot="1">
      <c r="A7" s="486"/>
      <c r="B7" s="617" t="s">
        <v>545</v>
      </c>
      <c r="C7" s="6">
        <v>4</v>
      </c>
      <c r="D7" s="518"/>
      <c r="K7" s="584" t="s">
        <v>93</v>
      </c>
      <c r="L7" s="582" t="s">
        <v>421</v>
      </c>
      <c r="M7" s="585">
        <f>D132</f>
        <v>0.4</v>
      </c>
      <c r="N7" s="585">
        <f t="shared" si="0"/>
        <v>0.6</v>
      </c>
      <c r="O7" s="585"/>
      <c r="P7" s="585"/>
    </row>
    <row r="8" spans="1:25" ht="37.5" customHeight="1" thickBot="1">
      <c r="A8" s="486"/>
      <c r="B8" s="617" t="s">
        <v>546</v>
      </c>
      <c r="C8" s="6">
        <v>2</v>
      </c>
      <c r="D8" s="518"/>
      <c r="F8" s="334">
        <v>1</v>
      </c>
      <c r="K8" s="584" t="s">
        <v>57</v>
      </c>
      <c r="L8" s="582" t="s">
        <v>421</v>
      </c>
      <c r="M8" s="585">
        <f>D158</f>
        <v>0.41739130434782606</v>
      </c>
      <c r="N8" s="585">
        <f t="shared" si="0"/>
        <v>0.58260869565217388</v>
      </c>
      <c r="O8" s="585"/>
      <c r="P8" s="585"/>
    </row>
    <row r="9" spans="1:25" ht="37.5" customHeight="1" thickBot="1">
      <c r="A9" s="486"/>
      <c r="B9" s="617" t="s">
        <v>591</v>
      </c>
      <c r="C9" s="6">
        <v>4</v>
      </c>
      <c r="D9" s="518"/>
      <c r="F9" s="334">
        <v>2</v>
      </c>
      <c r="K9" s="584" t="s">
        <v>33</v>
      </c>
      <c r="L9" s="582" t="s">
        <v>421</v>
      </c>
      <c r="M9" s="585">
        <f>D182</f>
        <v>0.4</v>
      </c>
      <c r="N9" s="585">
        <f t="shared" si="0"/>
        <v>0.6</v>
      </c>
      <c r="O9" s="585"/>
      <c r="P9" s="585"/>
    </row>
    <row r="10" spans="1:25" ht="37.5" customHeight="1" thickBot="1">
      <c r="A10" s="486"/>
      <c r="B10" s="617" t="s">
        <v>547</v>
      </c>
      <c r="C10" s="6">
        <v>2</v>
      </c>
      <c r="D10" s="518"/>
      <c r="F10" s="334">
        <v>3</v>
      </c>
      <c r="K10" s="584" t="s">
        <v>15</v>
      </c>
      <c r="L10" s="582" t="s">
        <v>421</v>
      </c>
      <c r="M10" s="585">
        <f>D194</f>
        <v>0.4</v>
      </c>
      <c r="N10" s="585">
        <f t="shared" si="0"/>
        <v>0.6</v>
      </c>
      <c r="O10" s="585"/>
      <c r="P10" s="585"/>
    </row>
    <row r="11" spans="1:25" ht="37.5" customHeight="1" thickBot="1">
      <c r="A11" s="486"/>
      <c r="B11" s="617" t="s">
        <v>548</v>
      </c>
      <c r="C11" s="6">
        <v>1</v>
      </c>
      <c r="D11" s="518"/>
      <c r="F11" s="334">
        <v>4</v>
      </c>
      <c r="K11" s="584" t="s">
        <v>6</v>
      </c>
      <c r="L11" s="582" t="s">
        <v>421</v>
      </c>
      <c r="M11" s="585">
        <f>D202</f>
        <v>0.4</v>
      </c>
      <c r="N11" s="585">
        <f t="shared" si="0"/>
        <v>0.6</v>
      </c>
      <c r="O11" s="585"/>
      <c r="P11" s="585"/>
    </row>
    <row r="12" spans="1:25" ht="37.5" customHeight="1" thickBot="1">
      <c r="A12" s="486"/>
      <c r="B12" s="617" t="s">
        <v>549</v>
      </c>
      <c r="C12" s="6">
        <v>1</v>
      </c>
      <c r="D12" s="518"/>
      <c r="E12" s="335"/>
      <c r="F12" s="334">
        <v>5</v>
      </c>
      <c r="K12" s="584" t="s">
        <v>1</v>
      </c>
      <c r="L12" s="582" t="s">
        <v>421</v>
      </c>
      <c r="M12" s="585">
        <f>D228</f>
        <v>0.4</v>
      </c>
      <c r="N12" s="585">
        <f t="shared" si="0"/>
        <v>0.6</v>
      </c>
      <c r="O12" s="585"/>
      <c r="P12" s="585"/>
    </row>
    <row r="13" spans="1:25" ht="37.5" customHeight="1" thickBot="1">
      <c r="A13" s="486"/>
      <c r="B13" s="617" t="s">
        <v>592</v>
      </c>
      <c r="C13" s="534">
        <v>5</v>
      </c>
      <c r="D13" s="518"/>
      <c r="E13" s="331"/>
      <c r="F13" s="336"/>
      <c r="G13" s="332"/>
      <c r="H13" s="333"/>
      <c r="K13" s="586" t="str">
        <f>A229</f>
        <v xml:space="preserve">External risks </v>
      </c>
      <c r="M13" s="585">
        <f>D244</f>
        <v>0.4</v>
      </c>
      <c r="N13" s="585">
        <f t="shared" si="0"/>
        <v>0.6</v>
      </c>
      <c r="O13" s="585"/>
      <c r="P13" s="585"/>
    </row>
    <row r="14" spans="1:25" ht="37.5" hidden="1" customHeight="1" thickBot="1">
      <c r="A14" s="486"/>
      <c r="B14" s="617"/>
      <c r="C14" s="534"/>
      <c r="D14" s="533"/>
      <c r="E14" s="331"/>
      <c r="F14" s="336"/>
      <c r="G14" s="332"/>
      <c r="H14" s="333"/>
      <c r="K14" s="583"/>
      <c r="N14" s="585"/>
      <c r="O14" s="585"/>
      <c r="P14" s="585"/>
    </row>
    <row r="15" spans="1:25" ht="37.5" customHeight="1" thickBot="1">
      <c r="A15" s="534" t="s">
        <v>375</v>
      </c>
      <c r="B15" s="618"/>
      <c r="C15" s="534">
        <f>SUM(C4:C13)</f>
        <v>25</v>
      </c>
      <c r="D15" s="536">
        <f>C15/(COUNTIF(C4:C13,"&gt;=1")*5)</f>
        <v>0.5</v>
      </c>
      <c r="E15" s="333"/>
      <c r="F15" s="333"/>
      <c r="G15" s="333"/>
      <c r="H15" s="333"/>
      <c r="K15" s="584" t="s">
        <v>420</v>
      </c>
      <c r="L15" s="582">
        <f>G248</f>
        <v>0</v>
      </c>
      <c r="M15" s="582">
        <f>F247</f>
        <v>0</v>
      </c>
      <c r="N15" s="585"/>
      <c r="O15" s="585"/>
      <c r="P15" s="585"/>
    </row>
    <row r="16" spans="1:25" ht="37.5" customHeight="1" thickBot="1">
      <c r="A16" s="510" t="s">
        <v>656</v>
      </c>
      <c r="B16" s="616" t="s">
        <v>655</v>
      </c>
      <c r="C16" s="510" t="s">
        <v>655</v>
      </c>
      <c r="D16" s="510"/>
      <c r="K16" s="583"/>
      <c r="L16" s="582">
        <f>G249</f>
        <v>0</v>
      </c>
      <c r="M16" s="582">
        <f>F248</f>
        <v>0</v>
      </c>
      <c r="N16" s="585"/>
      <c r="O16" s="585"/>
      <c r="P16" s="585"/>
    </row>
    <row r="17" spans="1:16" ht="37.5" customHeight="1" thickBot="1">
      <c r="A17" s="486"/>
      <c r="B17" s="617" t="s">
        <v>550</v>
      </c>
      <c r="C17" s="6">
        <v>3</v>
      </c>
      <c r="D17" s="518"/>
      <c r="M17" s="582">
        <f>M15+M16</f>
        <v>0</v>
      </c>
    </row>
    <row r="18" spans="1:16" ht="37.5" customHeight="1" thickBot="1">
      <c r="A18" s="486"/>
      <c r="B18" s="617" t="s">
        <v>551</v>
      </c>
      <c r="C18" s="6">
        <v>1</v>
      </c>
      <c r="D18" s="518"/>
      <c r="M18" s="585"/>
    </row>
    <row r="19" spans="1:16" ht="37.5" customHeight="1" thickBot="1">
      <c r="A19" s="486"/>
      <c r="B19" s="617" t="s">
        <v>552</v>
      </c>
      <c r="C19" s="6">
        <v>2</v>
      </c>
      <c r="D19" s="518"/>
    </row>
    <row r="20" spans="1:16" ht="37.5" customHeight="1" thickBot="1">
      <c r="A20" s="486"/>
      <c r="B20" s="617" t="s">
        <v>553</v>
      </c>
      <c r="C20" s="6">
        <v>3</v>
      </c>
      <c r="D20" s="518"/>
    </row>
    <row r="21" spans="1:16" ht="37.5" customHeight="1" thickBot="1">
      <c r="A21" s="486"/>
      <c r="B21" s="617" t="s">
        <v>554</v>
      </c>
      <c r="C21" s="6">
        <v>2</v>
      </c>
      <c r="D21" s="518"/>
    </row>
    <row r="22" spans="1:16" ht="37.5" customHeight="1" thickBot="1">
      <c r="A22" s="486"/>
      <c r="B22" s="617" t="s">
        <v>559</v>
      </c>
      <c r="C22" s="6">
        <v>4</v>
      </c>
      <c r="D22" s="518"/>
    </row>
    <row r="23" spans="1:16" ht="37.5" customHeight="1" thickBot="1">
      <c r="A23" s="486"/>
      <c r="B23" s="617" t="s">
        <v>558</v>
      </c>
      <c r="C23" s="6">
        <v>2</v>
      </c>
      <c r="D23" s="518"/>
      <c r="E23" s="331"/>
      <c r="F23" s="336"/>
      <c r="G23" s="332"/>
    </row>
    <row r="24" spans="1:16" ht="37.5" customHeight="1" thickBot="1">
      <c r="A24" s="486"/>
      <c r="B24" s="617" t="s">
        <v>557</v>
      </c>
      <c r="C24" s="6">
        <v>1</v>
      </c>
      <c r="D24" s="518"/>
      <c r="E24" s="331"/>
      <c r="F24" s="336"/>
      <c r="G24" s="332"/>
    </row>
    <row r="25" spans="1:16" ht="37.5" customHeight="1" thickBot="1">
      <c r="A25" s="486"/>
      <c r="B25" s="617" t="s">
        <v>556</v>
      </c>
      <c r="C25" s="6">
        <v>2</v>
      </c>
      <c r="D25" s="518"/>
      <c r="E25" s="331"/>
      <c r="F25" s="336"/>
      <c r="G25" s="332"/>
    </row>
    <row r="26" spans="1:16" ht="37.5" customHeight="1" thickBot="1">
      <c r="A26" s="486"/>
      <c r="B26" s="617" t="s">
        <v>555</v>
      </c>
      <c r="C26" s="6">
        <v>1</v>
      </c>
      <c r="D26" s="518"/>
      <c r="E26" s="331"/>
      <c r="F26" s="336"/>
      <c r="G26" s="332"/>
    </row>
    <row r="27" spans="1:16" ht="37.5" hidden="1" customHeight="1" thickBot="1">
      <c r="A27" s="486"/>
      <c r="B27" s="617"/>
      <c r="C27" s="6"/>
      <c r="D27" s="518"/>
      <c r="E27" s="331"/>
      <c r="F27" s="336"/>
      <c r="G27" s="332"/>
      <c r="K27" s="583"/>
      <c r="N27" s="585"/>
      <c r="O27" s="585"/>
      <c r="P27" s="585"/>
    </row>
    <row r="28" spans="1:16" ht="37.5" hidden="1" customHeight="1" thickBot="1">
      <c r="A28" s="486"/>
      <c r="B28" s="617"/>
      <c r="C28" s="534"/>
      <c r="D28" s="533">
        <f>COUNTIF(C17:C27,"&gt;=1")</f>
        <v>10</v>
      </c>
      <c r="E28" s="333"/>
      <c r="F28" s="333"/>
      <c r="G28" s="333"/>
      <c r="H28" s="333"/>
    </row>
    <row r="29" spans="1:16" ht="37.5" customHeight="1">
      <c r="A29" s="534" t="s">
        <v>375</v>
      </c>
      <c r="B29" s="618"/>
      <c r="C29" s="534">
        <f>SUM(C17:C27)</f>
        <v>21</v>
      </c>
      <c r="D29" s="536">
        <f>C29/(COUNTIF(C17:C27,"&gt;=1")*5)</f>
        <v>0.42</v>
      </c>
    </row>
    <row r="30" spans="1:16" ht="37.5" customHeight="1" thickBot="1">
      <c r="A30" s="510" t="s">
        <v>349</v>
      </c>
      <c r="B30" s="616"/>
      <c r="C30" s="510"/>
      <c r="D30" s="510"/>
    </row>
    <row r="31" spans="1:16" ht="37.5" customHeight="1" thickBot="1">
      <c r="A31" s="486"/>
      <c r="B31" s="617" t="s">
        <v>560</v>
      </c>
      <c r="C31" s="6">
        <v>1</v>
      </c>
      <c r="D31" s="518"/>
    </row>
    <row r="32" spans="1:16" ht="37.5" customHeight="1" thickBot="1">
      <c r="A32" s="486"/>
      <c r="B32" s="617" t="s">
        <v>561</v>
      </c>
      <c r="C32" s="6">
        <v>4</v>
      </c>
      <c r="D32" s="518"/>
    </row>
    <row r="33" spans="1:16" ht="37.5" customHeight="1" thickBot="1">
      <c r="A33" s="486"/>
      <c r="B33" s="617" t="s">
        <v>562</v>
      </c>
      <c r="C33" s="6">
        <v>5</v>
      </c>
      <c r="D33" s="518"/>
    </row>
    <row r="34" spans="1:16" ht="37.5" customHeight="1" thickBot="1">
      <c r="A34" s="486"/>
      <c r="B34" s="617" t="s">
        <v>563</v>
      </c>
      <c r="C34" s="6">
        <v>2</v>
      </c>
      <c r="D34" s="518"/>
    </row>
    <row r="35" spans="1:16" ht="37.5" customHeight="1" thickBot="1">
      <c r="A35" s="486"/>
      <c r="B35" s="617" t="s">
        <v>564</v>
      </c>
      <c r="C35" s="6">
        <v>1</v>
      </c>
      <c r="D35" s="518"/>
    </row>
    <row r="36" spans="1:16" ht="37.5" customHeight="1" thickBot="1">
      <c r="A36" s="486"/>
      <c r="B36" s="617" t="s">
        <v>565</v>
      </c>
      <c r="C36" s="6">
        <v>3</v>
      </c>
      <c r="D36" s="518"/>
    </row>
    <row r="37" spans="1:16" ht="37.5" customHeight="1" thickBot="1">
      <c r="A37" s="486"/>
      <c r="B37" s="617" t="s">
        <v>566</v>
      </c>
      <c r="C37" s="6">
        <v>4</v>
      </c>
      <c r="D37" s="518"/>
      <c r="E37" s="331"/>
      <c r="F37" s="336"/>
      <c r="G37" s="332"/>
      <c r="K37" s="583"/>
      <c r="N37" s="585"/>
      <c r="O37" s="585"/>
      <c r="P37" s="585"/>
    </row>
    <row r="38" spans="1:16" ht="37.5" customHeight="1" thickBot="1">
      <c r="A38" s="486"/>
      <c r="B38" s="617" t="s">
        <v>567</v>
      </c>
      <c r="C38" s="6">
        <v>1</v>
      </c>
      <c r="D38" s="518"/>
      <c r="E38" s="333"/>
      <c r="F38" s="333"/>
      <c r="G38" s="333"/>
      <c r="H38" s="333"/>
    </row>
    <row r="39" spans="1:16" ht="37.5" customHeight="1" thickBot="1">
      <c r="A39" s="486"/>
      <c r="B39" s="617"/>
      <c r="C39" s="534"/>
      <c r="D39" s="533">
        <f>COUNTIF(C31:C38,"&gt;=1")</f>
        <v>8</v>
      </c>
      <c r="E39" s="333"/>
      <c r="F39" s="333"/>
      <c r="G39" s="333"/>
      <c r="H39" s="333"/>
    </row>
    <row r="40" spans="1:16" ht="37.5" customHeight="1">
      <c r="A40" s="534" t="s">
        <v>375</v>
      </c>
      <c r="B40" s="618"/>
      <c r="C40" s="534">
        <f>SUM(C31:C38)</f>
        <v>21</v>
      </c>
      <c r="D40" s="536">
        <f>C40/(COUNTIF(C31:C38,"&gt;=1")*5)</f>
        <v>0.52500000000000002</v>
      </c>
    </row>
    <row r="41" spans="1:16" ht="37.5" customHeight="1" thickBot="1">
      <c r="A41" s="510" t="s">
        <v>121</v>
      </c>
      <c r="B41" s="616"/>
      <c r="C41" s="510"/>
      <c r="D41" s="510"/>
    </row>
    <row r="42" spans="1:16" ht="37.5" customHeight="1" thickBot="1">
      <c r="A42" s="486"/>
      <c r="B42" s="617" t="s">
        <v>120</v>
      </c>
      <c r="C42" s="6">
        <v>4</v>
      </c>
      <c r="D42" s="518"/>
    </row>
    <row r="43" spans="1:16" ht="37.5" customHeight="1" thickBot="1">
      <c r="A43" s="486"/>
      <c r="B43" s="617" t="s">
        <v>119</v>
      </c>
      <c r="C43" s="6">
        <v>2</v>
      </c>
      <c r="D43" s="518"/>
    </row>
    <row r="44" spans="1:16" ht="37.5" customHeight="1" thickBot="1">
      <c r="A44" s="486"/>
      <c r="B44" s="617" t="s">
        <v>118</v>
      </c>
      <c r="C44" s="6">
        <v>1</v>
      </c>
      <c r="D44" s="518"/>
    </row>
    <row r="45" spans="1:16" ht="37.5" customHeight="1" thickBot="1">
      <c r="A45" s="486"/>
      <c r="B45" s="617" t="s">
        <v>117</v>
      </c>
      <c r="C45" s="6">
        <v>2</v>
      </c>
      <c r="D45" s="518"/>
      <c r="E45" s="331"/>
      <c r="F45" s="336"/>
      <c r="G45" s="332"/>
    </row>
    <row r="46" spans="1:16" ht="37.5" customHeight="1" thickBot="1">
      <c r="A46" s="486"/>
      <c r="B46" s="617" t="s">
        <v>116</v>
      </c>
      <c r="C46" s="6">
        <v>4</v>
      </c>
      <c r="D46" s="518"/>
      <c r="E46" s="331"/>
      <c r="F46" s="336"/>
      <c r="G46" s="332"/>
    </row>
    <row r="47" spans="1:16" ht="37.5" customHeight="1" thickBot="1">
      <c r="A47" s="486"/>
      <c r="B47" s="617" t="s">
        <v>115</v>
      </c>
      <c r="C47" s="6">
        <v>5</v>
      </c>
      <c r="D47" s="518"/>
      <c r="E47" s="331"/>
      <c r="F47" s="336"/>
      <c r="G47" s="332"/>
      <c r="K47" s="583"/>
      <c r="N47" s="585"/>
      <c r="O47" s="585"/>
      <c r="P47" s="585"/>
    </row>
    <row r="48" spans="1:16" ht="37.5" hidden="1" customHeight="1" thickBot="1">
      <c r="A48" s="486"/>
      <c r="B48" s="617"/>
      <c r="C48" s="534"/>
      <c r="D48" s="518"/>
      <c r="E48" s="333"/>
      <c r="F48" s="333"/>
      <c r="G48" s="333"/>
      <c r="H48" s="333"/>
    </row>
    <row r="49" spans="1:8" ht="37.5" hidden="1" customHeight="1" thickBot="1">
      <c r="A49" s="486"/>
      <c r="B49" s="617"/>
      <c r="C49" s="534"/>
      <c r="D49" s="533">
        <f>COUNTIF(C42:C48,"&gt;=1")</f>
        <v>6</v>
      </c>
      <c r="E49" s="333"/>
      <c r="F49" s="333"/>
      <c r="G49" s="333"/>
      <c r="H49" s="333"/>
    </row>
    <row r="50" spans="1:8" ht="37.5" customHeight="1">
      <c r="A50" s="534" t="s">
        <v>375</v>
      </c>
      <c r="B50" s="618"/>
      <c r="C50" s="534">
        <f>SUM(C42:C48)</f>
        <v>18</v>
      </c>
      <c r="D50" s="536">
        <f>C50/(COUNTIF(C42:C48,"&gt;=1")*5)</f>
        <v>0.6</v>
      </c>
    </row>
    <row r="51" spans="1:8" ht="37.5" customHeight="1" thickBot="1">
      <c r="A51" s="510" t="s">
        <v>657</v>
      </c>
      <c r="B51" s="616"/>
      <c r="C51" s="510"/>
      <c r="D51" s="510"/>
    </row>
    <row r="52" spans="1:8" ht="37.5" customHeight="1" thickBot="1">
      <c r="A52" s="486"/>
      <c r="B52" s="617" t="s">
        <v>113</v>
      </c>
      <c r="C52" s="6">
        <v>4</v>
      </c>
      <c r="D52" s="518"/>
    </row>
    <row r="53" spans="1:8" ht="37.5" customHeight="1" thickBot="1">
      <c r="A53" s="486"/>
      <c r="B53" s="617" t="s">
        <v>112</v>
      </c>
      <c r="C53" s="6">
        <v>2</v>
      </c>
      <c r="D53" s="518"/>
    </row>
    <row r="54" spans="1:8" ht="37.5" customHeight="1" thickBot="1">
      <c r="A54" s="486"/>
      <c r="B54" s="617" t="s">
        <v>111</v>
      </c>
      <c r="C54" s="6">
        <v>5</v>
      </c>
      <c r="D54" s="518"/>
    </row>
    <row r="55" spans="1:8" ht="37.5" customHeight="1" thickBot="1">
      <c r="A55" s="486"/>
      <c r="B55" s="617" t="s">
        <v>593</v>
      </c>
      <c r="C55" s="6">
        <v>2</v>
      </c>
      <c r="D55" s="518"/>
    </row>
    <row r="56" spans="1:8" ht="37.5" customHeight="1" thickBot="1">
      <c r="A56" s="486"/>
      <c r="B56" s="617" t="s">
        <v>594</v>
      </c>
      <c r="C56" s="6">
        <v>3</v>
      </c>
      <c r="D56" s="518"/>
    </row>
    <row r="57" spans="1:8" ht="37.5" customHeight="1" thickBot="1">
      <c r="A57" s="486"/>
      <c r="B57" s="617" t="s">
        <v>110</v>
      </c>
      <c r="C57" s="6">
        <v>3</v>
      </c>
      <c r="D57" s="518"/>
    </row>
    <row r="58" spans="1:8" ht="37.5" customHeight="1" thickBot="1">
      <c r="A58" s="486"/>
      <c r="B58" s="617" t="s">
        <v>109</v>
      </c>
      <c r="C58" s="6">
        <v>4</v>
      </c>
      <c r="D58" s="518"/>
    </row>
    <row r="59" spans="1:8" ht="37.5" customHeight="1" thickBot="1">
      <c r="A59" s="486"/>
      <c r="B59" s="617" t="s">
        <v>108</v>
      </c>
      <c r="C59" s="6">
        <v>1</v>
      </c>
      <c r="D59" s="518"/>
    </row>
    <row r="60" spans="1:8" ht="37.5" customHeight="1" thickBot="1">
      <c r="A60" s="486"/>
      <c r="B60" s="617" t="s">
        <v>107</v>
      </c>
      <c r="C60" s="6">
        <v>4</v>
      </c>
      <c r="D60" s="518"/>
    </row>
    <row r="61" spans="1:8" ht="37.5" customHeight="1" thickBot="1">
      <c r="A61" s="486"/>
      <c r="B61" s="617" t="s">
        <v>106</v>
      </c>
      <c r="C61" s="6">
        <v>5</v>
      </c>
      <c r="D61" s="518"/>
    </row>
    <row r="62" spans="1:8" ht="37.5" customHeight="1" thickBot="1">
      <c r="A62" s="486"/>
      <c r="B62" s="617" t="s">
        <v>105</v>
      </c>
      <c r="C62" s="6">
        <v>5</v>
      </c>
      <c r="D62" s="518"/>
    </row>
    <row r="63" spans="1:8" ht="37.5" customHeight="1" thickBot="1">
      <c r="A63" s="486"/>
      <c r="B63" s="617" t="s">
        <v>104</v>
      </c>
      <c r="C63" s="6">
        <v>2</v>
      </c>
      <c r="D63" s="518"/>
    </row>
    <row r="64" spans="1:8" ht="37.5" customHeight="1" thickBot="1">
      <c r="A64" s="486"/>
      <c r="B64" s="617" t="s">
        <v>103</v>
      </c>
      <c r="C64" s="6">
        <v>5</v>
      </c>
      <c r="D64" s="518"/>
    </row>
    <row r="65" spans="1:4" ht="37.5" customHeight="1" thickBot="1">
      <c r="A65" s="486"/>
      <c r="B65" s="617" t="s">
        <v>102</v>
      </c>
      <c r="C65" s="6">
        <v>2</v>
      </c>
      <c r="D65" s="518"/>
    </row>
    <row r="66" spans="1:4" ht="37.5" customHeight="1" thickBot="1">
      <c r="A66" s="486"/>
      <c r="B66" s="617" t="s">
        <v>101</v>
      </c>
      <c r="C66" s="6">
        <v>3</v>
      </c>
      <c r="D66" s="518"/>
    </row>
    <row r="67" spans="1:4" ht="37.5" customHeight="1" thickBot="1">
      <c r="A67" s="486"/>
      <c r="B67" s="617" t="s">
        <v>595</v>
      </c>
      <c r="C67" s="6">
        <v>1</v>
      </c>
      <c r="D67" s="518"/>
    </row>
    <row r="68" spans="1:4" ht="37.5" customHeight="1" thickBot="1">
      <c r="A68" s="486"/>
      <c r="B68" s="617" t="s">
        <v>596</v>
      </c>
      <c r="C68" s="6">
        <v>4</v>
      </c>
      <c r="D68" s="518"/>
    </row>
    <row r="69" spans="1:4" ht="37.5" customHeight="1" thickBot="1">
      <c r="A69" s="486"/>
      <c r="B69" s="617" t="s">
        <v>100</v>
      </c>
      <c r="C69" s="6">
        <v>2</v>
      </c>
      <c r="D69" s="518"/>
    </row>
    <row r="70" spans="1:4" ht="37.5" customHeight="1" thickBot="1">
      <c r="A70" s="486"/>
      <c r="B70" s="617" t="s">
        <v>99</v>
      </c>
      <c r="C70" s="6">
        <v>4</v>
      </c>
      <c r="D70" s="518"/>
    </row>
    <row r="71" spans="1:4" ht="37.5" customHeight="1" thickBot="1">
      <c r="A71" s="486"/>
      <c r="B71" s="617" t="s">
        <v>597</v>
      </c>
      <c r="C71" s="6">
        <v>2</v>
      </c>
      <c r="D71" s="518"/>
    </row>
    <row r="72" spans="1:4" ht="37.5" customHeight="1" thickBot="1">
      <c r="A72" s="486"/>
      <c r="B72" s="617" t="s">
        <v>598</v>
      </c>
      <c r="C72" s="6">
        <v>4</v>
      </c>
      <c r="D72" s="518"/>
    </row>
    <row r="73" spans="1:4" ht="37.5" customHeight="1" thickBot="1">
      <c r="A73" s="486"/>
      <c r="B73" s="617" t="s">
        <v>599</v>
      </c>
      <c r="C73" s="6">
        <v>2</v>
      </c>
      <c r="D73" s="518"/>
    </row>
    <row r="74" spans="1:4" ht="37.5" customHeight="1" thickBot="1">
      <c r="A74" s="486"/>
      <c r="B74" s="617" t="s">
        <v>600</v>
      </c>
      <c r="C74" s="6">
        <v>2</v>
      </c>
      <c r="D74" s="518"/>
    </row>
    <row r="75" spans="1:4" ht="37.5" customHeight="1" thickBot="1">
      <c r="A75" s="486"/>
      <c r="B75" s="617" t="s">
        <v>601</v>
      </c>
      <c r="C75" s="6">
        <v>2</v>
      </c>
      <c r="D75" s="518"/>
    </row>
    <row r="76" spans="1:4" ht="37.5" customHeight="1" thickBot="1">
      <c r="A76" s="486"/>
      <c r="B76" s="617" t="s">
        <v>98</v>
      </c>
      <c r="C76" s="6">
        <v>2</v>
      </c>
      <c r="D76" s="518"/>
    </row>
    <row r="77" spans="1:4" ht="37.5" customHeight="1" thickBot="1">
      <c r="A77" s="486"/>
      <c r="B77" s="617" t="s">
        <v>97</v>
      </c>
      <c r="C77" s="6">
        <v>2</v>
      </c>
      <c r="D77" s="518"/>
    </row>
    <row r="78" spans="1:4" ht="37.5" customHeight="1" thickBot="1">
      <c r="A78" s="486"/>
      <c r="B78" s="617" t="s">
        <v>75</v>
      </c>
      <c r="C78" s="6">
        <v>2</v>
      </c>
      <c r="D78" s="518"/>
    </row>
    <row r="79" spans="1:4" ht="37.5" customHeight="1" thickBot="1">
      <c r="A79" s="486"/>
      <c r="B79" s="617" t="s">
        <v>23</v>
      </c>
      <c r="C79" s="6">
        <v>5</v>
      </c>
      <c r="D79" s="518"/>
    </row>
    <row r="80" spans="1:4" ht="37.5" customHeight="1" thickBot="1">
      <c r="A80" s="486"/>
      <c r="B80" s="617" t="s">
        <v>602</v>
      </c>
      <c r="C80" s="6">
        <v>2</v>
      </c>
      <c r="D80" s="518"/>
    </row>
    <row r="81" spans="1:16" ht="37.5" customHeight="1" thickBot="1">
      <c r="A81" s="486"/>
      <c r="B81" s="617" t="s">
        <v>96</v>
      </c>
      <c r="C81" s="6">
        <v>2</v>
      </c>
      <c r="D81" s="518"/>
    </row>
    <row r="82" spans="1:16" ht="37.5" customHeight="1" thickBot="1">
      <c r="A82" s="486"/>
      <c r="B82" s="617" t="s">
        <v>95</v>
      </c>
      <c r="C82" s="6">
        <v>5</v>
      </c>
      <c r="D82" s="518"/>
      <c r="E82" s="331"/>
      <c r="F82" s="336"/>
      <c r="G82" s="332"/>
    </row>
    <row r="83" spans="1:16" ht="37.5" customHeight="1" thickBot="1">
      <c r="A83" s="486"/>
      <c r="B83" s="617" t="s">
        <v>603</v>
      </c>
      <c r="C83" s="6">
        <v>2</v>
      </c>
      <c r="D83" s="518"/>
      <c r="E83" s="331"/>
      <c r="F83" s="336"/>
      <c r="G83" s="332"/>
    </row>
    <row r="84" spans="1:16" ht="37.5" customHeight="1" thickBot="1">
      <c r="A84" s="486"/>
      <c r="B84" s="617" t="s">
        <v>94</v>
      </c>
      <c r="C84" s="6">
        <v>4</v>
      </c>
      <c r="D84" s="518"/>
      <c r="E84" s="331"/>
      <c r="F84" s="336"/>
      <c r="G84" s="332"/>
      <c r="K84" s="583"/>
      <c r="N84" s="585"/>
      <c r="O84" s="585"/>
      <c r="P84" s="585"/>
    </row>
    <row r="85" spans="1:16" ht="37.5" hidden="1" customHeight="1" thickBot="1">
      <c r="A85" s="486"/>
      <c r="B85" s="617"/>
      <c r="C85" s="6"/>
      <c r="D85" s="535"/>
      <c r="E85" s="333"/>
      <c r="F85" s="333"/>
      <c r="G85" s="333"/>
      <c r="H85" s="333"/>
    </row>
    <row r="86" spans="1:16" ht="37.5" hidden="1" customHeight="1" thickBot="1">
      <c r="A86" s="486"/>
      <c r="B86" s="617"/>
      <c r="C86" s="534"/>
      <c r="D86" s="533">
        <f>COUNTIF(C52:C85,"&gt;=1")</f>
        <v>33</v>
      </c>
      <c r="E86" s="333"/>
      <c r="F86" s="333"/>
      <c r="G86" s="333"/>
      <c r="H86" s="333"/>
    </row>
    <row r="87" spans="1:16" ht="37.5" customHeight="1">
      <c r="A87" s="534" t="s">
        <v>375</v>
      </c>
      <c r="B87" s="618"/>
      <c r="C87" s="534">
        <f>SUM(C52:C85)</f>
        <v>99</v>
      </c>
      <c r="D87" s="536">
        <f>C87/(COUNTIF(C52:C85,"&gt;=1")*5)</f>
        <v>0.6</v>
      </c>
    </row>
    <row r="88" spans="1:16" ht="37.5" customHeight="1" thickBot="1">
      <c r="A88" s="510" t="s">
        <v>93</v>
      </c>
      <c r="B88" s="616"/>
      <c r="C88" s="510"/>
      <c r="D88" s="510"/>
    </row>
    <row r="89" spans="1:16" ht="37.5" customHeight="1" thickBot="1">
      <c r="A89" s="486"/>
      <c r="B89" s="617" t="s">
        <v>604</v>
      </c>
      <c r="C89" s="6">
        <v>2</v>
      </c>
      <c r="D89" s="518"/>
    </row>
    <row r="90" spans="1:16" ht="37.5" customHeight="1" thickBot="1">
      <c r="A90" s="486"/>
      <c r="B90" s="617" t="s">
        <v>605</v>
      </c>
      <c r="C90" s="6">
        <v>2</v>
      </c>
      <c r="D90" s="518"/>
    </row>
    <row r="91" spans="1:16" ht="37.5" customHeight="1" thickBot="1">
      <c r="A91" s="486"/>
      <c r="B91" s="617" t="s">
        <v>92</v>
      </c>
      <c r="C91" s="6">
        <v>2</v>
      </c>
      <c r="D91" s="518"/>
    </row>
    <row r="92" spans="1:16" ht="37.5" customHeight="1" thickBot="1">
      <c r="A92" s="486"/>
      <c r="B92" s="617" t="s">
        <v>606</v>
      </c>
      <c r="C92" s="6">
        <v>2</v>
      </c>
      <c r="D92" s="518"/>
    </row>
    <row r="93" spans="1:16" ht="37.5" customHeight="1" thickBot="1">
      <c r="A93" s="486"/>
      <c r="B93" s="617" t="s">
        <v>91</v>
      </c>
      <c r="C93" s="6">
        <v>2</v>
      </c>
      <c r="D93" s="518"/>
    </row>
    <row r="94" spans="1:16" ht="37.5" customHeight="1" thickBot="1">
      <c r="A94" s="486"/>
      <c r="B94" s="617" t="s">
        <v>90</v>
      </c>
      <c r="C94" s="6">
        <v>2</v>
      </c>
      <c r="D94" s="518"/>
    </row>
    <row r="95" spans="1:16" ht="37.5" customHeight="1" thickBot="1">
      <c r="A95" s="486"/>
      <c r="B95" s="617" t="s">
        <v>607</v>
      </c>
      <c r="C95" s="6">
        <v>2</v>
      </c>
      <c r="D95" s="518"/>
    </row>
    <row r="96" spans="1:16" ht="37.5" customHeight="1" thickBot="1">
      <c r="A96" s="486"/>
      <c r="B96" s="617" t="s">
        <v>89</v>
      </c>
      <c r="C96" s="6">
        <v>2</v>
      </c>
      <c r="D96" s="518"/>
    </row>
    <row r="97" spans="1:4" ht="37.5" customHeight="1" thickBot="1">
      <c r="A97" s="486"/>
      <c r="B97" s="617" t="s">
        <v>88</v>
      </c>
      <c r="C97" s="6">
        <v>2</v>
      </c>
      <c r="D97" s="518"/>
    </row>
    <row r="98" spans="1:4" ht="37.5" customHeight="1" thickBot="1">
      <c r="A98" s="486"/>
      <c r="B98" s="617" t="s">
        <v>87</v>
      </c>
      <c r="C98" s="6">
        <v>2</v>
      </c>
      <c r="D98" s="518"/>
    </row>
    <row r="99" spans="1:4" ht="37.5" customHeight="1" thickBot="1">
      <c r="A99" s="486"/>
      <c r="B99" s="617" t="s">
        <v>86</v>
      </c>
      <c r="C99" s="6">
        <v>2</v>
      </c>
      <c r="D99" s="518"/>
    </row>
    <row r="100" spans="1:4" ht="37.5" customHeight="1" thickBot="1">
      <c r="A100" s="486"/>
      <c r="B100" s="617" t="s">
        <v>85</v>
      </c>
      <c r="C100" s="6">
        <v>2</v>
      </c>
      <c r="D100" s="518"/>
    </row>
    <row r="101" spans="1:4" ht="37.5" customHeight="1" thickBot="1">
      <c r="A101" s="486"/>
      <c r="B101" s="617" t="s">
        <v>84</v>
      </c>
      <c r="C101" s="6">
        <v>2</v>
      </c>
      <c r="D101" s="518"/>
    </row>
    <row r="102" spans="1:4" ht="37.5" customHeight="1" thickBot="1">
      <c r="A102" s="486"/>
      <c r="B102" s="617" t="s">
        <v>83</v>
      </c>
      <c r="C102" s="6">
        <v>2</v>
      </c>
      <c r="D102" s="518"/>
    </row>
    <row r="103" spans="1:4" ht="37.5" customHeight="1" thickBot="1">
      <c r="A103" s="486"/>
      <c r="B103" s="617" t="s">
        <v>82</v>
      </c>
      <c r="C103" s="6">
        <v>2</v>
      </c>
      <c r="D103" s="518"/>
    </row>
    <row r="104" spans="1:4" ht="37.5" customHeight="1" thickBot="1">
      <c r="A104" s="486"/>
      <c r="B104" s="617" t="s">
        <v>81</v>
      </c>
      <c r="C104" s="6">
        <v>2</v>
      </c>
      <c r="D104" s="518"/>
    </row>
    <row r="105" spans="1:4" ht="37.5" customHeight="1" thickBot="1">
      <c r="A105" s="486"/>
      <c r="B105" s="617" t="s">
        <v>80</v>
      </c>
      <c r="C105" s="6">
        <v>2</v>
      </c>
      <c r="D105" s="518"/>
    </row>
    <row r="106" spans="1:4" ht="37.5" customHeight="1" thickBot="1">
      <c r="A106" s="486"/>
      <c r="B106" s="617" t="s">
        <v>79</v>
      </c>
      <c r="C106" s="6">
        <v>2</v>
      </c>
      <c r="D106" s="518"/>
    </row>
    <row r="107" spans="1:4" ht="37.5" customHeight="1" thickBot="1">
      <c r="A107" s="486"/>
      <c r="B107" s="617" t="s">
        <v>78</v>
      </c>
      <c r="C107" s="6">
        <v>2</v>
      </c>
      <c r="D107" s="518"/>
    </row>
    <row r="108" spans="1:4" ht="37.5" customHeight="1" thickBot="1">
      <c r="A108" s="486"/>
      <c r="B108" s="617" t="s">
        <v>77</v>
      </c>
      <c r="C108" s="6">
        <v>2</v>
      </c>
      <c r="D108" s="518"/>
    </row>
    <row r="109" spans="1:4" ht="37.5" customHeight="1" thickBot="1">
      <c r="A109" s="486"/>
      <c r="B109" s="617" t="s">
        <v>76</v>
      </c>
      <c r="C109" s="6">
        <v>2</v>
      </c>
      <c r="D109" s="518"/>
    </row>
    <row r="110" spans="1:4" ht="37.5" customHeight="1" thickBot="1">
      <c r="A110" s="486"/>
      <c r="B110" s="617" t="s">
        <v>75</v>
      </c>
      <c r="C110" s="6">
        <v>2</v>
      </c>
      <c r="D110" s="518"/>
    </row>
    <row r="111" spans="1:4" ht="37.5" customHeight="1" thickBot="1">
      <c r="A111" s="486"/>
      <c r="B111" s="617" t="s">
        <v>608</v>
      </c>
      <c r="C111" s="6">
        <v>2</v>
      </c>
      <c r="D111" s="518"/>
    </row>
    <row r="112" spans="1:4" ht="37.5" customHeight="1" thickBot="1">
      <c r="A112" s="486"/>
      <c r="B112" s="617" t="s">
        <v>74</v>
      </c>
      <c r="C112" s="6">
        <v>2</v>
      </c>
      <c r="D112" s="518"/>
    </row>
    <row r="113" spans="1:7" ht="37.5" customHeight="1" thickBot="1">
      <c r="A113" s="486"/>
      <c r="B113" s="617" t="s">
        <v>73</v>
      </c>
      <c r="C113" s="6">
        <v>2</v>
      </c>
      <c r="D113" s="518"/>
    </row>
    <row r="114" spans="1:7" ht="37.5" customHeight="1" thickBot="1">
      <c r="A114" s="486"/>
      <c r="B114" s="617" t="s">
        <v>72</v>
      </c>
      <c r="C114" s="6">
        <v>2</v>
      </c>
      <c r="D114" s="518"/>
    </row>
    <row r="115" spans="1:7" ht="37.5" customHeight="1" thickBot="1">
      <c r="A115" s="486"/>
      <c r="B115" s="617" t="s">
        <v>71</v>
      </c>
      <c r="C115" s="6">
        <v>2</v>
      </c>
      <c r="D115" s="518"/>
    </row>
    <row r="116" spans="1:7" ht="37.5" customHeight="1" thickBot="1">
      <c r="A116" s="486"/>
      <c r="B116" s="617" t="s">
        <v>70</v>
      </c>
      <c r="C116" s="6">
        <v>2</v>
      </c>
      <c r="D116" s="518"/>
    </row>
    <row r="117" spans="1:7" ht="37.5" customHeight="1" thickBot="1">
      <c r="A117" s="486"/>
      <c r="B117" s="617" t="s">
        <v>69</v>
      </c>
      <c r="C117" s="6">
        <v>2</v>
      </c>
      <c r="D117" s="518"/>
    </row>
    <row r="118" spans="1:7" ht="37.5" customHeight="1" thickBot="1">
      <c r="A118" s="486"/>
      <c r="B118" s="617" t="s">
        <v>609</v>
      </c>
      <c r="C118" s="6">
        <v>2</v>
      </c>
      <c r="D118" s="518"/>
    </row>
    <row r="119" spans="1:7" ht="37.5" customHeight="1" thickBot="1">
      <c r="A119" s="486"/>
      <c r="B119" s="617" t="s">
        <v>68</v>
      </c>
      <c r="C119" s="6">
        <v>2</v>
      </c>
      <c r="D119" s="518"/>
    </row>
    <row r="120" spans="1:7" ht="37.5" customHeight="1" thickBot="1">
      <c r="A120" s="486"/>
      <c r="B120" s="617" t="s">
        <v>67</v>
      </c>
      <c r="C120" s="6">
        <v>2</v>
      </c>
      <c r="D120" s="518"/>
    </row>
    <row r="121" spans="1:7" ht="37.5" customHeight="1" thickBot="1">
      <c r="A121" s="486"/>
      <c r="B121" s="617" t="s">
        <v>66</v>
      </c>
      <c r="C121" s="6">
        <v>2</v>
      </c>
      <c r="D121" s="518"/>
    </row>
    <row r="122" spans="1:7" ht="37.5" customHeight="1" thickBot="1">
      <c r="A122" s="486"/>
      <c r="B122" s="617" t="s">
        <v>65</v>
      </c>
      <c r="C122" s="6">
        <v>2</v>
      </c>
      <c r="D122" s="518"/>
    </row>
    <row r="123" spans="1:7" ht="37.5" customHeight="1" thickBot="1">
      <c r="A123" s="486"/>
      <c r="B123" s="617" t="s">
        <v>64</v>
      </c>
      <c r="C123" s="6">
        <v>2</v>
      </c>
      <c r="D123" s="518"/>
    </row>
    <row r="124" spans="1:7" ht="37.5" customHeight="1" thickBot="1">
      <c r="A124" s="486"/>
      <c r="B124" s="617" t="s">
        <v>63</v>
      </c>
      <c r="C124" s="6">
        <v>2</v>
      </c>
      <c r="D124" s="518"/>
    </row>
    <row r="125" spans="1:7" ht="37.5" customHeight="1" thickBot="1">
      <c r="A125" s="486"/>
      <c r="B125" s="617" t="s">
        <v>62</v>
      </c>
      <c r="C125" s="6">
        <v>2</v>
      </c>
      <c r="D125" s="518"/>
    </row>
    <row r="126" spans="1:7" ht="37.5" customHeight="1" thickBot="1">
      <c r="A126" s="486"/>
      <c r="B126" s="617" t="s">
        <v>61</v>
      </c>
      <c r="C126" s="6">
        <v>2</v>
      </c>
      <c r="D126" s="518"/>
    </row>
    <row r="127" spans="1:7" ht="37.5" customHeight="1" thickBot="1">
      <c r="A127" s="486"/>
      <c r="B127" s="617" t="s">
        <v>60</v>
      </c>
      <c r="C127" s="6">
        <v>2</v>
      </c>
      <c r="D127" s="518"/>
      <c r="E127" s="331"/>
      <c r="F127" s="336"/>
      <c r="G127" s="332"/>
    </row>
    <row r="128" spans="1:7" ht="37.5" customHeight="1" thickBot="1">
      <c r="A128" s="486"/>
      <c r="B128" s="617" t="s">
        <v>59</v>
      </c>
      <c r="C128" s="6">
        <v>2</v>
      </c>
      <c r="D128" s="518"/>
      <c r="E128" s="331"/>
      <c r="F128" s="336"/>
      <c r="G128" s="332"/>
    </row>
    <row r="129" spans="1:16" ht="37.5" customHeight="1" thickBot="1">
      <c r="A129" s="486"/>
      <c r="B129" s="617" t="s">
        <v>58</v>
      </c>
      <c r="C129" s="6">
        <v>2</v>
      </c>
      <c r="D129" s="518"/>
      <c r="E129" s="331"/>
      <c r="F129" s="336"/>
      <c r="G129" s="332"/>
      <c r="K129" s="583"/>
      <c r="N129" s="585"/>
      <c r="O129" s="585"/>
      <c r="P129" s="585"/>
    </row>
    <row r="130" spans="1:16" ht="37.5" hidden="1" customHeight="1" thickBot="1">
      <c r="A130" s="486"/>
      <c r="B130" s="617"/>
      <c r="C130" s="6">
        <v>2</v>
      </c>
      <c r="D130" s="518"/>
      <c r="E130" s="333"/>
      <c r="F130" s="333"/>
      <c r="G130" s="333"/>
      <c r="H130" s="333"/>
    </row>
    <row r="131" spans="1:16" ht="37.5" hidden="1" customHeight="1" thickBot="1">
      <c r="A131" s="486"/>
      <c r="B131" s="617"/>
      <c r="C131" s="534"/>
      <c r="D131" s="518">
        <f>COUNTIF(C89:C130,"&gt;=1")</f>
        <v>42</v>
      </c>
      <c r="E131" s="333"/>
      <c r="F131" s="333"/>
      <c r="G131" s="333"/>
      <c r="H131" s="333"/>
    </row>
    <row r="132" spans="1:16" ht="37.5" customHeight="1">
      <c r="A132" s="534" t="s">
        <v>375</v>
      </c>
      <c r="B132" s="618"/>
      <c r="C132" s="534">
        <f>SUM(C89:C130)</f>
        <v>84</v>
      </c>
      <c r="D132" s="536">
        <f>C132/(COUNTIF(C89:C130,"&gt;=1")*5)</f>
        <v>0.4</v>
      </c>
    </row>
    <row r="133" spans="1:16" ht="37.5" customHeight="1" thickBot="1">
      <c r="A133" s="510" t="s">
        <v>57</v>
      </c>
      <c r="B133" s="616"/>
      <c r="C133" s="510"/>
      <c r="D133" s="510"/>
    </row>
    <row r="134" spans="1:16" ht="37.5" customHeight="1" thickBot="1">
      <c r="A134" s="486"/>
      <c r="B134" s="617" t="s">
        <v>56</v>
      </c>
      <c r="C134" s="6">
        <v>4</v>
      </c>
      <c r="D134" s="518"/>
    </row>
    <row r="135" spans="1:16" ht="37.5" customHeight="1" thickBot="1">
      <c r="A135" s="486"/>
      <c r="B135" s="617" t="s">
        <v>55</v>
      </c>
      <c r="C135" s="6">
        <v>2</v>
      </c>
      <c r="D135" s="518"/>
    </row>
    <row r="136" spans="1:16" ht="37.5" customHeight="1" thickBot="1">
      <c r="A136" s="486"/>
      <c r="B136" s="617" t="s">
        <v>54</v>
      </c>
      <c r="C136" s="6">
        <v>1</v>
      </c>
      <c r="D136" s="518"/>
    </row>
    <row r="137" spans="1:16" ht="37.5" customHeight="1" thickBot="1">
      <c r="A137" s="486"/>
      <c r="B137" s="617" t="s">
        <v>53</v>
      </c>
      <c r="C137" s="6">
        <v>2</v>
      </c>
      <c r="D137" s="518"/>
    </row>
    <row r="138" spans="1:16" ht="37.5" customHeight="1" thickBot="1">
      <c r="A138" s="486"/>
      <c r="B138" s="617" t="s">
        <v>52</v>
      </c>
      <c r="C138" s="6">
        <v>3</v>
      </c>
      <c r="D138" s="518"/>
    </row>
    <row r="139" spans="1:16" ht="37.5" customHeight="1" thickBot="1">
      <c r="A139" s="486"/>
      <c r="B139" s="617" t="s">
        <v>51</v>
      </c>
      <c r="C139" s="6">
        <v>2</v>
      </c>
      <c r="D139" s="518"/>
    </row>
    <row r="140" spans="1:16" ht="37.5" customHeight="1" thickBot="1">
      <c r="A140" s="486"/>
      <c r="B140" s="617" t="s">
        <v>50</v>
      </c>
      <c r="C140" s="6">
        <v>2</v>
      </c>
      <c r="D140" s="518"/>
    </row>
    <row r="141" spans="1:16" ht="37.5" customHeight="1" thickBot="1">
      <c r="A141" s="486"/>
      <c r="B141" s="617" t="s">
        <v>49</v>
      </c>
      <c r="C141" s="6">
        <v>2</v>
      </c>
      <c r="D141" s="518"/>
    </row>
    <row r="142" spans="1:16" ht="37.5" customHeight="1" thickBot="1">
      <c r="A142" s="486"/>
      <c r="B142" s="617" t="s">
        <v>48</v>
      </c>
      <c r="C142" s="6">
        <v>2</v>
      </c>
      <c r="D142" s="518"/>
    </row>
    <row r="143" spans="1:16" ht="37.5" customHeight="1" thickBot="1">
      <c r="A143" s="486"/>
      <c r="B143" s="617" t="s">
        <v>47</v>
      </c>
      <c r="C143" s="6">
        <v>2</v>
      </c>
      <c r="D143" s="518"/>
    </row>
    <row r="144" spans="1:16" ht="37.5" customHeight="1" thickBot="1">
      <c r="A144" s="486"/>
      <c r="B144" s="617" t="s">
        <v>46</v>
      </c>
      <c r="C144" s="6">
        <v>2</v>
      </c>
      <c r="D144" s="518"/>
    </row>
    <row r="145" spans="1:16" ht="37.5" customHeight="1" thickBot="1">
      <c r="A145" s="486"/>
      <c r="B145" s="617" t="s">
        <v>45</v>
      </c>
      <c r="C145" s="6">
        <v>2</v>
      </c>
      <c r="D145" s="518"/>
    </row>
    <row r="146" spans="1:16" ht="37.5" customHeight="1" thickBot="1">
      <c r="A146" s="486"/>
      <c r="B146" s="617" t="s">
        <v>44</v>
      </c>
      <c r="C146" s="6">
        <v>2</v>
      </c>
      <c r="D146" s="518"/>
    </row>
    <row r="147" spans="1:16" ht="37.5" customHeight="1" thickBot="1">
      <c r="A147" s="486"/>
      <c r="B147" s="617" t="s">
        <v>43</v>
      </c>
      <c r="C147" s="6">
        <v>2</v>
      </c>
      <c r="D147" s="518"/>
    </row>
    <row r="148" spans="1:16" ht="37.5" customHeight="1" thickBot="1">
      <c r="A148" s="486"/>
      <c r="B148" s="617" t="s">
        <v>42</v>
      </c>
      <c r="C148" s="6">
        <v>2</v>
      </c>
      <c r="D148" s="518"/>
    </row>
    <row r="149" spans="1:16" ht="37.5" customHeight="1" thickBot="1">
      <c r="A149" s="486"/>
      <c r="B149" s="617" t="s">
        <v>41</v>
      </c>
      <c r="C149" s="6">
        <v>2</v>
      </c>
      <c r="D149" s="518"/>
    </row>
    <row r="150" spans="1:16" ht="37.5" customHeight="1" thickBot="1">
      <c r="A150" s="486"/>
      <c r="B150" s="617" t="s">
        <v>40</v>
      </c>
      <c r="C150" s="6">
        <v>2</v>
      </c>
      <c r="D150" s="518"/>
    </row>
    <row r="151" spans="1:16" ht="37.5" customHeight="1" thickBot="1">
      <c r="A151" s="486"/>
      <c r="B151" s="617" t="s">
        <v>39</v>
      </c>
      <c r="C151" s="6">
        <v>2</v>
      </c>
      <c r="D151" s="518"/>
    </row>
    <row r="152" spans="1:16" ht="37.5" customHeight="1" thickBot="1">
      <c r="A152" s="486"/>
      <c r="B152" s="617" t="s">
        <v>38</v>
      </c>
      <c r="C152" s="6">
        <v>2</v>
      </c>
      <c r="D152" s="518"/>
    </row>
    <row r="153" spans="1:16" ht="37.5" customHeight="1" thickBot="1">
      <c r="A153" s="486"/>
      <c r="B153" s="617" t="s">
        <v>37</v>
      </c>
      <c r="C153" s="6">
        <v>2</v>
      </c>
      <c r="D153" s="518"/>
    </row>
    <row r="154" spans="1:16" ht="37.5" customHeight="1" thickBot="1">
      <c r="A154" s="486"/>
      <c r="B154" s="617" t="s">
        <v>36</v>
      </c>
      <c r="C154" s="6">
        <v>2</v>
      </c>
      <c r="D154" s="518"/>
      <c r="E154" s="331"/>
      <c r="F154" s="336"/>
      <c r="G154" s="332"/>
    </row>
    <row r="155" spans="1:16" ht="37.5" customHeight="1" thickBot="1">
      <c r="A155" s="486"/>
      <c r="B155" s="617" t="s">
        <v>35</v>
      </c>
      <c r="C155" s="6">
        <v>2</v>
      </c>
      <c r="D155" s="518"/>
      <c r="E155" s="331"/>
      <c r="F155" s="336"/>
      <c r="G155" s="332"/>
      <c r="K155" s="583"/>
      <c r="N155" s="585"/>
      <c r="O155" s="585"/>
      <c r="P155" s="585"/>
    </row>
    <row r="156" spans="1:16" ht="37.5" customHeight="1" thickBot="1">
      <c r="A156" s="486"/>
      <c r="B156" s="617" t="s">
        <v>34</v>
      </c>
      <c r="C156" s="6">
        <v>2</v>
      </c>
      <c r="D156" s="518"/>
      <c r="E156" s="333"/>
      <c r="F156" s="333"/>
      <c r="G156" s="333"/>
      <c r="H156" s="333"/>
    </row>
    <row r="157" spans="1:16" ht="37.5" hidden="1" customHeight="1" thickBot="1">
      <c r="A157" s="486"/>
      <c r="B157" s="617"/>
      <c r="C157" s="534"/>
      <c r="D157" s="518">
        <f>COUNTIF(C134:C156,"&gt;=1")</f>
        <v>23</v>
      </c>
      <c r="E157" s="333"/>
      <c r="F157" s="333"/>
      <c r="G157" s="333"/>
      <c r="H157" s="333"/>
    </row>
    <row r="158" spans="1:16" ht="37.5" customHeight="1">
      <c r="A158" s="534" t="s">
        <v>375</v>
      </c>
      <c r="B158" s="618"/>
      <c r="C158" s="534">
        <f>SUM(C134:C156)</f>
        <v>48</v>
      </c>
      <c r="D158" s="536">
        <f>C158/(COUNTIF(C134:C156,"&gt;=1")*5)</f>
        <v>0.41739130434782606</v>
      </c>
    </row>
    <row r="159" spans="1:16" ht="37.5" customHeight="1" thickBot="1">
      <c r="A159" s="510" t="s">
        <v>33</v>
      </c>
      <c r="B159" s="616"/>
      <c r="C159" s="510"/>
      <c r="D159" s="510"/>
    </row>
    <row r="160" spans="1:16" ht="37.5" customHeight="1" thickBot="1">
      <c r="A160" s="486"/>
      <c r="B160" s="617" t="s">
        <v>32</v>
      </c>
      <c r="C160" s="6">
        <v>2</v>
      </c>
      <c r="D160" s="518"/>
    </row>
    <row r="161" spans="1:4" ht="37.5" customHeight="1" thickBot="1">
      <c r="A161" s="486"/>
      <c r="B161" s="617" t="s">
        <v>610</v>
      </c>
      <c r="C161" s="6">
        <v>2</v>
      </c>
      <c r="D161" s="518"/>
    </row>
    <row r="162" spans="1:4" ht="37.5" customHeight="1" thickBot="1">
      <c r="A162" s="486"/>
      <c r="B162" s="617" t="s">
        <v>31</v>
      </c>
      <c r="C162" s="6">
        <v>2</v>
      </c>
      <c r="D162" s="518"/>
    </row>
    <row r="163" spans="1:4" ht="37.5" customHeight="1" thickBot="1">
      <c r="A163" s="486"/>
      <c r="B163" s="617" t="s">
        <v>30</v>
      </c>
      <c r="C163" s="6">
        <v>2</v>
      </c>
      <c r="D163" s="518"/>
    </row>
    <row r="164" spans="1:4" ht="37.5" customHeight="1" thickBot="1">
      <c r="A164" s="486"/>
      <c r="B164" s="617" t="s">
        <v>29</v>
      </c>
      <c r="C164" s="6">
        <v>2</v>
      </c>
      <c r="D164" s="518"/>
    </row>
    <row r="165" spans="1:4" ht="37.5" customHeight="1" thickBot="1">
      <c r="A165" s="486"/>
      <c r="B165" s="617" t="s">
        <v>28</v>
      </c>
      <c r="C165" s="6">
        <v>2</v>
      </c>
      <c r="D165" s="518"/>
    </row>
    <row r="166" spans="1:4" ht="37.5" customHeight="1" thickBot="1">
      <c r="A166" s="486"/>
      <c r="B166" s="617" t="s">
        <v>27</v>
      </c>
      <c r="C166" s="6">
        <v>2</v>
      </c>
      <c r="D166" s="518"/>
    </row>
    <row r="167" spans="1:4" ht="37.5" customHeight="1" thickBot="1">
      <c r="A167" s="486"/>
      <c r="B167" s="617" t="s">
        <v>26</v>
      </c>
      <c r="C167" s="6">
        <v>2</v>
      </c>
      <c r="D167" s="518"/>
    </row>
    <row r="168" spans="1:4" ht="37.5" customHeight="1" thickBot="1">
      <c r="A168" s="486"/>
      <c r="B168" s="617" t="s">
        <v>611</v>
      </c>
      <c r="C168" s="6">
        <v>2</v>
      </c>
      <c r="D168" s="518"/>
    </row>
    <row r="169" spans="1:4" ht="37.5" customHeight="1" thickBot="1">
      <c r="A169" s="486"/>
      <c r="B169" s="617" t="s">
        <v>25</v>
      </c>
      <c r="C169" s="6">
        <v>2</v>
      </c>
      <c r="D169" s="518"/>
    </row>
    <row r="170" spans="1:4" ht="37.5" customHeight="1" thickBot="1">
      <c r="A170" s="486"/>
      <c r="B170" s="617" t="s">
        <v>24</v>
      </c>
      <c r="C170" s="6">
        <v>2</v>
      </c>
      <c r="D170" s="518"/>
    </row>
    <row r="171" spans="1:4" ht="37.5" customHeight="1" thickBot="1">
      <c r="A171" s="486"/>
      <c r="B171" s="617" t="s">
        <v>612</v>
      </c>
      <c r="C171" s="6">
        <v>2</v>
      </c>
      <c r="D171" s="518"/>
    </row>
    <row r="172" spans="1:4" ht="37.5" customHeight="1" thickBot="1">
      <c r="A172" s="486"/>
      <c r="B172" s="617" t="s">
        <v>22</v>
      </c>
      <c r="C172" s="6">
        <v>2</v>
      </c>
      <c r="D172" s="518"/>
    </row>
    <row r="173" spans="1:4" ht="37.5" customHeight="1" thickBot="1">
      <c r="A173" s="486"/>
      <c r="B173" s="617" t="s">
        <v>21</v>
      </c>
      <c r="C173" s="6">
        <v>2</v>
      </c>
      <c r="D173" s="518"/>
    </row>
    <row r="174" spans="1:4" ht="37.5" customHeight="1" thickBot="1">
      <c r="A174" s="486"/>
      <c r="B174" s="617" t="s">
        <v>613</v>
      </c>
      <c r="C174" s="6">
        <v>2</v>
      </c>
      <c r="D174" s="518"/>
    </row>
    <row r="175" spans="1:4" ht="37.5" customHeight="1" thickBot="1">
      <c r="A175" s="486"/>
      <c r="B175" s="617" t="s">
        <v>20</v>
      </c>
      <c r="C175" s="6">
        <v>2</v>
      </c>
      <c r="D175" s="518"/>
    </row>
    <row r="176" spans="1:4" ht="37.5" customHeight="1" thickBot="1">
      <c r="A176" s="486"/>
      <c r="B176" s="617" t="s">
        <v>19</v>
      </c>
      <c r="C176" s="6">
        <v>2</v>
      </c>
      <c r="D176" s="518"/>
    </row>
    <row r="177" spans="1:16" ht="37.5" customHeight="1" thickBot="1">
      <c r="A177" s="486"/>
      <c r="B177" s="617" t="s">
        <v>18</v>
      </c>
      <c r="C177" s="6">
        <v>2</v>
      </c>
      <c r="D177" s="518"/>
    </row>
    <row r="178" spans="1:16" ht="37.5" customHeight="1" thickBot="1">
      <c r="A178" s="486"/>
      <c r="B178" s="617" t="s">
        <v>614</v>
      </c>
      <c r="C178" s="6">
        <v>2</v>
      </c>
      <c r="D178" s="518"/>
      <c r="E178" s="331"/>
      <c r="F178" s="336"/>
      <c r="G178" s="332"/>
    </row>
    <row r="179" spans="1:16" ht="37.5" customHeight="1" thickBot="1">
      <c r="A179" s="486"/>
      <c r="B179" s="617" t="s">
        <v>17</v>
      </c>
      <c r="C179" s="6">
        <v>2</v>
      </c>
      <c r="D179" s="518"/>
      <c r="E179" s="331"/>
      <c r="F179" s="336"/>
      <c r="G179" s="332"/>
      <c r="K179" s="583"/>
      <c r="N179" s="585"/>
      <c r="O179" s="585"/>
      <c r="P179" s="585"/>
    </row>
    <row r="180" spans="1:16" ht="37.5" customHeight="1" thickBot="1">
      <c r="A180" s="486"/>
      <c r="B180" s="617" t="s">
        <v>16</v>
      </c>
      <c r="C180" s="6">
        <v>2</v>
      </c>
      <c r="D180" s="518"/>
      <c r="E180" s="333"/>
      <c r="F180" s="333"/>
      <c r="G180" s="333"/>
      <c r="H180" s="333"/>
    </row>
    <row r="181" spans="1:16" ht="37.5" hidden="1" customHeight="1" thickBot="1">
      <c r="A181" s="486"/>
      <c r="B181" s="617"/>
      <c r="C181" s="534"/>
      <c r="D181" s="533">
        <f>COUNTIF(C160:C180,"&gt;=1")</f>
        <v>21</v>
      </c>
      <c r="E181" s="333"/>
      <c r="F181" s="333"/>
      <c r="G181" s="333"/>
      <c r="H181" s="333"/>
    </row>
    <row r="182" spans="1:16" ht="37.5" customHeight="1">
      <c r="A182" s="534" t="s">
        <v>375</v>
      </c>
      <c r="B182" s="618"/>
      <c r="C182" s="534">
        <f>SUM(C160:C180)</f>
        <v>42</v>
      </c>
      <c r="D182" s="536">
        <f>C182/(COUNTIF(C160:C180,"&gt;=1")*5)</f>
        <v>0.4</v>
      </c>
    </row>
    <row r="183" spans="1:16" ht="37.5" customHeight="1" thickBot="1">
      <c r="A183" s="510" t="s">
        <v>15</v>
      </c>
      <c r="B183" s="616"/>
      <c r="C183" s="510"/>
      <c r="D183" s="510"/>
    </row>
    <row r="184" spans="1:16" ht="37.5" customHeight="1" thickBot="1">
      <c r="A184" s="486"/>
      <c r="B184" s="617" t="s">
        <v>14</v>
      </c>
      <c r="C184" s="6">
        <v>2</v>
      </c>
      <c r="D184" s="518"/>
    </row>
    <row r="185" spans="1:16" ht="37.5" customHeight="1" thickBot="1">
      <c r="A185" s="486"/>
      <c r="B185" s="617" t="s">
        <v>13</v>
      </c>
      <c r="C185" s="6">
        <v>2</v>
      </c>
      <c r="D185" s="518"/>
    </row>
    <row r="186" spans="1:16" ht="37.5" customHeight="1" thickBot="1">
      <c r="A186" s="486"/>
      <c r="B186" s="617" t="s">
        <v>12</v>
      </c>
      <c r="C186" s="6">
        <v>2</v>
      </c>
      <c r="D186" s="518"/>
    </row>
    <row r="187" spans="1:16" ht="37.5" customHeight="1" thickBot="1">
      <c r="A187" s="486"/>
      <c r="B187" s="617" t="s">
        <v>11</v>
      </c>
      <c r="C187" s="6">
        <v>2</v>
      </c>
      <c r="D187" s="518"/>
    </row>
    <row r="188" spans="1:16" ht="37.5" customHeight="1" thickBot="1">
      <c r="A188" s="486"/>
      <c r="B188" s="617" t="s">
        <v>10</v>
      </c>
      <c r="C188" s="6">
        <v>2</v>
      </c>
      <c r="D188" s="518"/>
    </row>
    <row r="189" spans="1:16" ht="37.5" customHeight="1" thickBot="1">
      <c r="A189" s="486"/>
      <c r="B189" s="617" t="s">
        <v>9</v>
      </c>
      <c r="C189" s="6">
        <v>2</v>
      </c>
      <c r="D189" s="518"/>
    </row>
    <row r="190" spans="1:16" ht="37.5" customHeight="1" thickBot="1">
      <c r="A190" s="486"/>
      <c r="B190" s="617" t="s">
        <v>8</v>
      </c>
      <c r="C190" s="6">
        <v>2</v>
      </c>
      <c r="D190" s="518"/>
      <c r="E190" s="331"/>
      <c r="F190" s="336"/>
      <c r="G190" s="332"/>
    </row>
    <row r="191" spans="1:16" ht="37.5" customHeight="1" thickBot="1">
      <c r="A191" s="486"/>
      <c r="B191" s="617" t="s">
        <v>7</v>
      </c>
      <c r="C191" s="6">
        <v>2</v>
      </c>
      <c r="D191" s="518"/>
      <c r="E191" s="331"/>
      <c r="F191" s="336"/>
      <c r="G191" s="332"/>
      <c r="K191" s="583"/>
      <c r="N191" s="585"/>
      <c r="O191" s="585"/>
      <c r="P191" s="585"/>
    </row>
    <row r="192" spans="1:16" ht="37.5" customHeight="1" thickBot="1">
      <c r="A192" s="486"/>
      <c r="B192" s="617" t="s">
        <v>736</v>
      </c>
      <c r="C192" s="6">
        <v>2</v>
      </c>
      <c r="D192" s="518"/>
      <c r="E192" s="333"/>
      <c r="F192" s="333"/>
      <c r="G192" s="333"/>
      <c r="H192" s="333"/>
    </row>
    <row r="193" spans="1:16" ht="37.5" hidden="1" customHeight="1" thickBot="1">
      <c r="A193" s="486"/>
      <c r="B193" s="617"/>
      <c r="C193" s="534"/>
      <c r="D193" s="533">
        <f>COUNTIF(C184:C192,"&gt;=1")</f>
        <v>9</v>
      </c>
      <c r="E193" s="333"/>
      <c r="F193" s="333"/>
      <c r="G193" s="333"/>
      <c r="H193" s="333"/>
    </row>
    <row r="194" spans="1:16" ht="37.5" customHeight="1">
      <c r="A194" s="534" t="s">
        <v>375</v>
      </c>
      <c r="B194" s="618"/>
      <c r="C194" s="534">
        <f>SUM(C184:C192)</f>
        <v>18</v>
      </c>
      <c r="D194" s="536">
        <f>C194/(COUNTIF(C184:C192,"&gt;=1")*5)</f>
        <v>0.4</v>
      </c>
    </row>
    <row r="195" spans="1:16" ht="37.5" customHeight="1" thickBot="1">
      <c r="A195" s="510" t="s">
        <v>6</v>
      </c>
      <c r="B195" s="616"/>
      <c r="C195" s="510"/>
      <c r="D195" s="510"/>
    </row>
    <row r="196" spans="1:16" ht="37.5" customHeight="1" thickBot="1">
      <c r="A196" s="486"/>
      <c r="B196" s="617" t="s">
        <v>615</v>
      </c>
      <c r="C196" s="6">
        <v>2</v>
      </c>
      <c r="D196" s="518"/>
    </row>
    <row r="197" spans="1:16" ht="37.5" customHeight="1" thickBot="1">
      <c r="A197" s="486"/>
      <c r="B197" s="617" t="s">
        <v>5</v>
      </c>
      <c r="C197" s="6">
        <v>2</v>
      </c>
      <c r="D197" s="518"/>
    </row>
    <row r="198" spans="1:16" ht="37.5" customHeight="1" thickBot="1">
      <c r="A198" s="486"/>
      <c r="B198" s="617" t="s">
        <v>4</v>
      </c>
      <c r="C198" s="6">
        <v>2</v>
      </c>
      <c r="D198" s="518"/>
      <c r="E198" s="331"/>
      <c r="F198" s="336"/>
      <c r="G198" s="332"/>
    </row>
    <row r="199" spans="1:16" ht="37.5" customHeight="1" thickBot="1">
      <c r="A199" s="486"/>
      <c r="B199" s="617" t="s">
        <v>3</v>
      </c>
      <c r="C199" s="6">
        <v>2</v>
      </c>
      <c r="D199" s="518"/>
      <c r="E199" s="331"/>
      <c r="F199" s="336"/>
      <c r="G199" s="332"/>
      <c r="K199" s="583"/>
      <c r="N199" s="585"/>
      <c r="O199" s="585"/>
      <c r="P199" s="585"/>
    </row>
    <row r="200" spans="1:16" ht="37.5" customHeight="1" thickBot="1">
      <c r="A200" s="486"/>
      <c r="B200" s="617" t="s">
        <v>2</v>
      </c>
      <c r="C200" s="6">
        <v>2</v>
      </c>
      <c r="D200" s="518"/>
      <c r="E200" s="333"/>
      <c r="F200" s="333"/>
      <c r="G200" s="333"/>
      <c r="H200" s="333"/>
    </row>
    <row r="201" spans="1:16" ht="37.5" hidden="1" customHeight="1" thickBot="1">
      <c r="A201" s="486"/>
      <c r="B201" s="617"/>
      <c r="C201" s="534"/>
      <c r="D201" s="533">
        <f>COUNTIF(C196:C200,"&gt;=1")</f>
        <v>5</v>
      </c>
      <c r="E201" s="333"/>
      <c r="F201" s="333"/>
      <c r="G201" s="333"/>
      <c r="H201" s="333"/>
    </row>
    <row r="202" spans="1:16" ht="37.5" customHeight="1">
      <c r="A202" s="534" t="s">
        <v>375</v>
      </c>
      <c r="B202" s="618"/>
      <c r="C202" s="534">
        <f>SUM(C196:C200)</f>
        <v>10</v>
      </c>
      <c r="D202" s="536">
        <f>C202/(COUNTIF(C196:C200,"&gt;=1")*5)</f>
        <v>0.4</v>
      </c>
    </row>
    <row r="203" spans="1:16" ht="37.5" customHeight="1" thickBot="1">
      <c r="A203" s="510" t="s">
        <v>1</v>
      </c>
      <c r="B203" s="616"/>
      <c r="C203" s="510"/>
      <c r="D203" s="510"/>
    </row>
    <row r="204" spans="1:16" ht="37.5" customHeight="1" thickBot="1">
      <c r="A204" s="486"/>
      <c r="B204" s="617" t="s">
        <v>616</v>
      </c>
      <c r="C204" s="6">
        <v>2</v>
      </c>
      <c r="D204" s="518"/>
    </row>
    <row r="205" spans="1:16" ht="37.5" customHeight="1" thickBot="1">
      <c r="A205" s="486"/>
      <c r="B205" s="617" t="s">
        <v>617</v>
      </c>
      <c r="C205" s="6">
        <v>2</v>
      </c>
      <c r="D205" s="518"/>
    </row>
    <row r="206" spans="1:16" ht="37.5" customHeight="1" thickBot="1">
      <c r="A206" s="486"/>
      <c r="B206" s="617" t="s">
        <v>618</v>
      </c>
      <c r="C206" s="6">
        <v>2</v>
      </c>
      <c r="D206" s="518"/>
    </row>
    <row r="207" spans="1:16" ht="37.5" customHeight="1" thickBot="1">
      <c r="A207" s="486"/>
      <c r="B207" s="617" t="s">
        <v>619</v>
      </c>
      <c r="C207" s="6">
        <v>2</v>
      </c>
      <c r="D207" s="518"/>
    </row>
    <row r="208" spans="1:16" ht="37.5" customHeight="1" thickBot="1">
      <c r="A208" s="486"/>
      <c r="B208" s="617" t="s">
        <v>620</v>
      </c>
      <c r="C208" s="6">
        <v>2</v>
      </c>
      <c r="D208" s="518"/>
    </row>
    <row r="209" spans="1:4" ht="37.5" customHeight="1" thickBot="1">
      <c r="A209" s="486"/>
      <c r="B209" s="617" t="s">
        <v>621</v>
      </c>
      <c r="C209" s="6">
        <v>2</v>
      </c>
      <c r="D209" s="518"/>
    </row>
    <row r="210" spans="1:4" ht="37.5" customHeight="1" thickBot="1">
      <c r="A210" s="486"/>
      <c r="B210" s="617" t="s">
        <v>622</v>
      </c>
      <c r="C210" s="6">
        <v>2</v>
      </c>
      <c r="D210" s="518"/>
    </row>
    <row r="211" spans="1:4" ht="37.5" customHeight="1" thickBot="1">
      <c r="A211" s="486"/>
      <c r="B211" s="617" t="s">
        <v>623</v>
      </c>
      <c r="C211" s="6">
        <v>2</v>
      </c>
      <c r="D211" s="518"/>
    </row>
    <row r="212" spans="1:4" ht="37.5" customHeight="1" thickBot="1">
      <c r="A212" s="486"/>
      <c r="B212" s="617" t="s">
        <v>624</v>
      </c>
      <c r="C212" s="6">
        <v>2</v>
      </c>
      <c r="D212" s="518"/>
    </row>
    <row r="213" spans="1:4" ht="37.5" customHeight="1" thickBot="1">
      <c r="A213" s="486"/>
      <c r="B213" s="617" t="s">
        <v>625</v>
      </c>
      <c r="C213" s="6">
        <v>2</v>
      </c>
      <c r="D213" s="518"/>
    </row>
    <row r="214" spans="1:4" ht="37.5" customHeight="1" thickBot="1">
      <c r="A214" s="486"/>
      <c r="B214" s="617" t="s">
        <v>626</v>
      </c>
      <c r="C214" s="6">
        <v>2</v>
      </c>
      <c r="D214" s="518"/>
    </row>
    <row r="215" spans="1:4" ht="37.5" customHeight="1" thickBot="1">
      <c r="A215" s="486"/>
      <c r="B215" s="617" t="s">
        <v>627</v>
      </c>
      <c r="C215" s="6">
        <v>2</v>
      </c>
      <c r="D215" s="518"/>
    </row>
    <row r="216" spans="1:4" ht="37.5" customHeight="1" thickBot="1">
      <c r="A216" s="486"/>
      <c r="B216" s="617" t="s">
        <v>628</v>
      </c>
      <c r="C216" s="6">
        <v>2</v>
      </c>
      <c r="D216" s="518"/>
    </row>
    <row r="217" spans="1:4" ht="37.5" customHeight="1" thickBot="1">
      <c r="A217" s="486"/>
      <c r="B217" s="617" t="s">
        <v>629</v>
      </c>
      <c r="C217" s="6">
        <v>2</v>
      </c>
      <c r="D217" s="518"/>
    </row>
    <row r="218" spans="1:4" ht="37.5" customHeight="1" thickBot="1">
      <c r="A218" s="486"/>
      <c r="B218" s="617" t="s">
        <v>630</v>
      </c>
      <c r="C218" s="6">
        <v>2</v>
      </c>
      <c r="D218" s="518"/>
    </row>
    <row r="219" spans="1:4" ht="37.5" customHeight="1" thickBot="1">
      <c r="A219" s="486"/>
      <c r="B219" s="617" t="s">
        <v>631</v>
      </c>
      <c r="C219" s="6">
        <v>2</v>
      </c>
      <c r="D219" s="518"/>
    </row>
    <row r="220" spans="1:4" ht="37.5" customHeight="1" thickBot="1">
      <c r="A220" s="486"/>
      <c r="B220" s="617" t="s">
        <v>632</v>
      </c>
      <c r="C220" s="6">
        <v>2</v>
      </c>
      <c r="D220" s="518"/>
    </row>
    <row r="221" spans="1:4" ht="37.5" customHeight="1" thickBot="1">
      <c r="A221" s="486"/>
      <c r="B221" s="617" t="s">
        <v>634</v>
      </c>
      <c r="C221" s="6">
        <v>2</v>
      </c>
      <c r="D221" s="518"/>
    </row>
    <row r="222" spans="1:4" ht="37.5" customHeight="1" thickBot="1">
      <c r="A222" s="486"/>
      <c r="B222" s="617" t="s">
        <v>633</v>
      </c>
      <c r="C222" s="6">
        <v>2</v>
      </c>
      <c r="D222" s="518"/>
    </row>
    <row r="223" spans="1:4" ht="37.5" customHeight="1" thickBot="1">
      <c r="A223" s="486"/>
      <c r="B223" s="617" t="s">
        <v>635</v>
      </c>
      <c r="C223" s="6">
        <v>2</v>
      </c>
      <c r="D223" s="518"/>
    </row>
    <row r="224" spans="1:4" ht="37.5" customHeight="1" thickBot="1">
      <c r="A224" s="486"/>
      <c r="B224" s="617" t="s">
        <v>636</v>
      </c>
      <c r="C224" s="6">
        <v>2</v>
      </c>
      <c r="D224" s="518"/>
    </row>
    <row r="225" spans="1:16" ht="37.5" customHeight="1" thickBot="1">
      <c r="A225" s="486"/>
      <c r="B225" s="617" t="s">
        <v>637</v>
      </c>
      <c r="C225" s="6">
        <v>2</v>
      </c>
      <c r="D225" s="518"/>
      <c r="E225" s="331"/>
      <c r="F225" s="336"/>
      <c r="G225" s="332"/>
      <c r="K225" s="583"/>
      <c r="N225" s="585"/>
      <c r="O225" s="585"/>
      <c r="P225" s="585"/>
    </row>
    <row r="226" spans="1:16" ht="37.5" customHeight="1" thickBot="1">
      <c r="A226" s="486"/>
      <c r="B226" s="617" t="s">
        <v>638</v>
      </c>
      <c r="C226" s="6">
        <v>2</v>
      </c>
      <c r="D226" s="518"/>
      <c r="E226" s="333"/>
      <c r="F226" s="333"/>
      <c r="G226" s="333"/>
      <c r="H226" s="333"/>
    </row>
    <row r="227" spans="1:16" ht="37.5" hidden="1" customHeight="1" thickBot="1">
      <c r="A227" s="486"/>
      <c r="B227" s="617"/>
      <c r="C227" s="534"/>
      <c r="D227" s="533">
        <f>COUNTIF(C204:C226,"&gt;=1")</f>
        <v>23</v>
      </c>
      <c r="E227" s="333"/>
      <c r="F227" s="333"/>
      <c r="G227" s="333"/>
      <c r="H227" s="333"/>
    </row>
    <row r="228" spans="1:16" ht="37.5" customHeight="1">
      <c r="A228" s="534" t="s">
        <v>375</v>
      </c>
      <c r="B228" s="618"/>
      <c r="C228" s="534">
        <f>SUM(C204:C226)</f>
        <v>46</v>
      </c>
      <c r="D228" s="536">
        <f>C228/(COUNTIF(C204:C226,"&gt;=1")*5)</f>
        <v>0.4</v>
      </c>
    </row>
    <row r="229" spans="1:16" ht="37.5" customHeight="1" thickBot="1">
      <c r="A229" s="510" t="s">
        <v>0</v>
      </c>
      <c r="B229" s="616"/>
      <c r="C229" s="510"/>
      <c r="D229" s="510"/>
    </row>
    <row r="230" spans="1:16" ht="37.5" customHeight="1" thickBot="1">
      <c r="A230" s="486"/>
      <c r="B230" s="617" t="s">
        <v>639</v>
      </c>
      <c r="C230" s="6">
        <v>2</v>
      </c>
      <c r="D230" s="518"/>
    </row>
    <row r="231" spans="1:16" ht="37.5" customHeight="1" thickBot="1">
      <c r="A231" s="486"/>
      <c r="B231" s="617" t="s">
        <v>640</v>
      </c>
      <c r="C231" s="6">
        <v>2</v>
      </c>
      <c r="D231" s="518"/>
    </row>
    <row r="232" spans="1:16" ht="37.5" customHeight="1" thickBot="1">
      <c r="A232" s="486"/>
      <c r="B232" s="617" t="s">
        <v>641</v>
      </c>
      <c r="C232" s="6">
        <v>2</v>
      </c>
      <c r="D232" s="518"/>
    </row>
    <row r="233" spans="1:16" ht="37.5" customHeight="1" thickBot="1">
      <c r="A233" s="486"/>
      <c r="B233" s="617" t="s">
        <v>642</v>
      </c>
      <c r="C233" s="6">
        <v>2</v>
      </c>
      <c r="D233" s="518"/>
    </row>
    <row r="234" spans="1:16" ht="37.5" customHeight="1" thickBot="1">
      <c r="A234" s="486"/>
      <c r="B234" s="617" t="s">
        <v>643</v>
      </c>
      <c r="C234" s="6">
        <v>2</v>
      </c>
      <c r="D234" s="518"/>
    </row>
    <row r="235" spans="1:16" ht="37.5" customHeight="1" thickBot="1">
      <c r="A235" s="486"/>
      <c r="B235" s="617" t="s">
        <v>644</v>
      </c>
      <c r="C235" s="6">
        <v>2</v>
      </c>
      <c r="D235" s="518"/>
    </row>
    <row r="236" spans="1:16" ht="37.5" customHeight="1" thickBot="1">
      <c r="A236" s="486"/>
      <c r="B236" s="617" t="s">
        <v>645</v>
      </c>
      <c r="C236" s="6">
        <v>2</v>
      </c>
      <c r="D236" s="518"/>
    </row>
    <row r="237" spans="1:16" ht="37.5" customHeight="1" thickBot="1">
      <c r="A237" s="486"/>
      <c r="B237" s="617" t="s">
        <v>646</v>
      </c>
      <c r="C237" s="6">
        <v>2</v>
      </c>
      <c r="D237" s="518"/>
    </row>
    <row r="238" spans="1:16" ht="37.5" customHeight="1" thickBot="1">
      <c r="A238" s="486"/>
      <c r="B238" s="617" t="s">
        <v>647</v>
      </c>
      <c r="C238" s="6">
        <v>2</v>
      </c>
      <c r="D238" s="518"/>
    </row>
    <row r="239" spans="1:16" ht="37.5" customHeight="1" thickBot="1">
      <c r="A239" s="486"/>
      <c r="B239" s="617" t="s">
        <v>648</v>
      </c>
      <c r="C239" s="6">
        <v>2</v>
      </c>
      <c r="D239" s="518"/>
    </row>
    <row r="240" spans="1:16" ht="37.5" customHeight="1" thickBot="1">
      <c r="A240" s="486"/>
      <c r="B240" s="617" t="s">
        <v>649</v>
      </c>
      <c r="C240" s="6">
        <v>2</v>
      </c>
      <c r="D240" s="518"/>
    </row>
    <row r="241" spans="1:7" ht="37.5" customHeight="1" thickBot="1">
      <c r="A241" s="486"/>
      <c r="B241" s="617" t="s">
        <v>650</v>
      </c>
      <c r="C241" s="6">
        <v>2</v>
      </c>
      <c r="D241" s="518"/>
      <c r="E241" s="331"/>
      <c r="F241" s="336"/>
      <c r="G241" s="332"/>
    </row>
    <row r="242" spans="1:7" ht="37.5" customHeight="1" thickBot="1">
      <c r="A242" s="486"/>
      <c r="B242" s="617" t="s">
        <v>651</v>
      </c>
      <c r="C242" s="6">
        <v>2</v>
      </c>
      <c r="D242" s="518"/>
      <c r="E242" s="331"/>
      <c r="F242" s="336"/>
      <c r="G242" s="332"/>
    </row>
    <row r="243" spans="1:7" ht="37.5" hidden="1" customHeight="1" thickBot="1">
      <c r="A243" s="486"/>
      <c r="B243" s="617"/>
      <c r="C243" s="534"/>
      <c r="D243" s="533">
        <f>COUNTIF(C230:C242,"&gt;=1")</f>
        <v>13</v>
      </c>
      <c r="E243" s="331"/>
      <c r="F243" s="336"/>
      <c r="G243" s="332"/>
    </row>
    <row r="244" spans="1:7" ht="21.75" thickBot="1">
      <c r="A244" s="534" t="s">
        <v>375</v>
      </c>
      <c r="B244" s="618"/>
      <c r="C244" s="534">
        <f>SUM(C230:C242)</f>
        <v>26</v>
      </c>
      <c r="D244" s="536">
        <f>C244/(COUNTIF(C230:C242,"&gt;=1")*5)</f>
        <v>0.4</v>
      </c>
      <c r="E244" s="333"/>
      <c r="F244" s="333"/>
      <c r="G244" s="333"/>
    </row>
    <row r="245" spans="1:7" ht="21">
      <c r="A245" s="534" t="s">
        <v>680</v>
      </c>
      <c r="B245" s="618"/>
      <c r="C245" s="534">
        <f>C244+C228+C202+C194+C182+C158+C132+C87+C50+C40+C29+C15</f>
        <v>458</v>
      </c>
      <c r="D245" s="536">
        <f>C245/((D243+D227+D201+D193+D181+D157+D131+D86+D49+D39+D28+D14)*5)</f>
        <v>0.47461139896373056</v>
      </c>
    </row>
    <row r="246" spans="1:7">
      <c r="A246" s="4"/>
    </row>
    <row r="247" spans="1:7">
      <c r="A247" s="4"/>
      <c r="E247" s="331"/>
      <c r="F247" s="336"/>
      <c r="G247" s="332"/>
    </row>
    <row r="248" spans="1:7">
      <c r="A248" s="4"/>
      <c r="E248" s="331"/>
      <c r="F248" s="336"/>
      <c r="G248" s="332"/>
    </row>
    <row r="249" spans="1:7">
      <c r="A249" s="4"/>
      <c r="E249" s="333"/>
      <c r="F249" s="337"/>
      <c r="G249" s="332"/>
    </row>
    <row r="250" spans="1:7">
      <c r="A250" s="4"/>
    </row>
    <row r="251" spans="1:7">
      <c r="A251" s="4"/>
    </row>
    <row r="252" spans="1:7">
      <c r="A252" s="4"/>
    </row>
    <row r="253" spans="1:7">
      <c r="A253" s="4"/>
    </row>
    <row r="254" spans="1:7">
      <c r="A254" s="4"/>
    </row>
    <row r="255" spans="1:7">
      <c r="A255" s="4"/>
    </row>
    <row r="256" spans="1:7">
      <c r="A256" s="4"/>
    </row>
    <row r="257" spans="1:1">
      <c r="A257" s="4"/>
    </row>
    <row r="258" spans="1:1">
      <c r="A258" s="4"/>
    </row>
    <row r="259" spans="1:1">
      <c r="A259" s="4"/>
    </row>
    <row r="260" spans="1:1">
      <c r="A260" s="4"/>
    </row>
    <row r="261" spans="1:1">
      <c r="A261" s="4"/>
    </row>
    <row r="262" spans="1:1">
      <c r="A262" s="4"/>
    </row>
    <row r="263" spans="1:1">
      <c r="A263" s="4"/>
    </row>
    <row r="264" spans="1:1">
      <c r="A264" s="4"/>
    </row>
    <row r="265" spans="1:1">
      <c r="A265" s="4"/>
    </row>
    <row r="266" spans="1:1">
      <c r="A266" s="4"/>
    </row>
    <row r="267" spans="1:1">
      <c r="A267" s="4"/>
    </row>
    <row r="268" spans="1:1">
      <c r="A268" s="4"/>
    </row>
    <row r="269" spans="1:1">
      <c r="A269" s="4"/>
    </row>
    <row r="270" spans="1:1">
      <c r="A270" s="4"/>
    </row>
    <row r="271" spans="1:1">
      <c r="A271" s="4"/>
    </row>
    <row r="272" spans="1:1">
      <c r="A272" s="4"/>
    </row>
    <row r="273" spans="1:1">
      <c r="A273" s="4"/>
    </row>
    <row r="274" spans="1:1">
      <c r="A274" s="4"/>
    </row>
    <row r="275" spans="1:1">
      <c r="A275" s="4"/>
    </row>
    <row r="276" spans="1:1">
      <c r="A276" s="4"/>
    </row>
    <row r="277" spans="1:1">
      <c r="A277" s="4"/>
    </row>
    <row r="278" spans="1:1">
      <c r="A278" s="4"/>
    </row>
    <row r="279" spans="1:1">
      <c r="A279" s="4"/>
    </row>
    <row r="280" spans="1:1">
      <c r="A280" s="4"/>
    </row>
    <row r="281" spans="1:1">
      <c r="A281" s="4"/>
    </row>
    <row r="282" spans="1:1">
      <c r="A282" s="4"/>
    </row>
    <row r="283" spans="1:1">
      <c r="A283" s="4"/>
    </row>
    <row r="284" spans="1:1">
      <c r="A284" s="4"/>
    </row>
    <row r="285" spans="1:1">
      <c r="A285" s="4"/>
    </row>
    <row r="286" spans="1:1">
      <c r="A286" s="4"/>
    </row>
    <row r="287" spans="1:1">
      <c r="A287" s="4"/>
    </row>
    <row r="288" spans="1:1">
      <c r="A288" s="4"/>
    </row>
    <row r="289" spans="1:1">
      <c r="A289" s="4"/>
    </row>
    <row r="290" spans="1:1">
      <c r="A290" s="4"/>
    </row>
    <row r="291" spans="1:1">
      <c r="A291" s="4"/>
    </row>
    <row r="292" spans="1:1">
      <c r="A292" s="4"/>
    </row>
    <row r="293" spans="1:1">
      <c r="A293" s="4"/>
    </row>
    <row r="294" spans="1:1">
      <c r="A294" s="4"/>
    </row>
    <row r="295" spans="1:1">
      <c r="A295" s="4"/>
    </row>
    <row r="296" spans="1:1">
      <c r="A296" s="4"/>
    </row>
    <row r="297" spans="1:1">
      <c r="A297" s="4"/>
    </row>
    <row r="298" spans="1:1">
      <c r="A298" s="4"/>
    </row>
    <row r="299" spans="1:1">
      <c r="A299" s="4"/>
    </row>
    <row r="300" spans="1:1">
      <c r="A300" s="4"/>
    </row>
    <row r="301" spans="1:1">
      <c r="A301" s="4"/>
    </row>
    <row r="302" spans="1:1">
      <c r="A302" s="4"/>
    </row>
    <row r="303" spans="1:1">
      <c r="A303" s="4"/>
    </row>
    <row r="304" spans="1:1">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c r="A313" s="4"/>
    </row>
    <row r="314" spans="1:1">
      <c r="A314" s="4"/>
    </row>
    <row r="315" spans="1:1">
      <c r="A315" s="4"/>
    </row>
    <row r="316" spans="1:1">
      <c r="A316" s="4"/>
    </row>
    <row r="317" spans="1:1">
      <c r="A317" s="4"/>
    </row>
    <row r="318" spans="1:1">
      <c r="A318" s="4"/>
    </row>
    <row r="319" spans="1:1">
      <c r="A319" s="4"/>
    </row>
    <row r="320" spans="1:1">
      <c r="A320" s="4"/>
    </row>
    <row r="321" spans="1:1">
      <c r="A321" s="4"/>
    </row>
    <row r="322" spans="1:1">
      <c r="A322" s="4"/>
    </row>
    <row r="323" spans="1:1">
      <c r="A323" s="4"/>
    </row>
    <row r="324" spans="1:1">
      <c r="A324" s="4"/>
    </row>
    <row r="325" spans="1:1">
      <c r="A325" s="4"/>
    </row>
    <row r="326" spans="1:1">
      <c r="A326" s="4"/>
    </row>
    <row r="327" spans="1:1">
      <c r="A327" s="4"/>
    </row>
    <row r="328" spans="1:1">
      <c r="A328" s="4"/>
    </row>
    <row r="329" spans="1:1">
      <c r="A329" s="4"/>
    </row>
    <row r="330" spans="1:1">
      <c r="A330" s="4"/>
    </row>
    <row r="331" spans="1:1">
      <c r="A331" s="4"/>
    </row>
    <row r="332" spans="1:1">
      <c r="A332" s="4"/>
    </row>
    <row r="333" spans="1:1">
      <c r="A333" s="4"/>
    </row>
    <row r="334" spans="1:1">
      <c r="A334" s="4"/>
    </row>
    <row r="335" spans="1:1">
      <c r="A335" s="4"/>
    </row>
    <row r="336" spans="1:1">
      <c r="A336" s="4"/>
    </row>
    <row r="337" spans="1:1">
      <c r="A337" s="4"/>
    </row>
    <row r="338" spans="1:1">
      <c r="A338" s="4"/>
    </row>
    <row r="339" spans="1:1">
      <c r="A339" s="4"/>
    </row>
    <row r="340" spans="1:1">
      <c r="A340" s="4"/>
    </row>
    <row r="341" spans="1:1">
      <c r="A341" s="4"/>
    </row>
    <row r="342" spans="1:1">
      <c r="A342" s="4"/>
    </row>
    <row r="343" spans="1:1">
      <c r="A343" s="4"/>
    </row>
  </sheetData>
  <dataValidations count="2">
    <dataValidation type="list" allowBlank="1" showInputMessage="1" showErrorMessage="1" sqref="C196:C201" xr:uid="{00000000-0002-0000-0500-000000000000}">
      <formula1>$F$7:$F$12</formula1>
    </dataValidation>
    <dataValidation type="list" allowBlank="1" showInputMessage="1" showErrorMessage="1" sqref="C31:C39 C17:C28 C52:C84 C89:C131 C134:C157 C160:C181 C184:C193 C204:C227 C230:C243 C4:C14 C42:C49" xr:uid="{00000000-0002-0000-0500-000001000000}">
      <formula1>$F$8:$F$12</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V127"/>
  <sheetViews>
    <sheetView topLeftCell="B9" zoomScale="80" zoomScaleNormal="80" workbookViewId="0">
      <selection activeCell="B2" sqref="B2:N25"/>
    </sheetView>
  </sheetViews>
  <sheetFormatPr defaultColWidth="9" defaultRowHeight="15"/>
  <cols>
    <col min="1" max="1" width="2.85546875" style="9" customWidth="1"/>
    <col min="2" max="2" width="62.7109375" style="21" bestFit="1" customWidth="1"/>
    <col min="3" max="3" width="14.42578125" style="54" customWidth="1"/>
    <col min="4" max="9" width="14.42578125" style="14" customWidth="1"/>
    <col min="10" max="10" width="14.42578125" style="9" customWidth="1"/>
    <col min="11" max="11" width="4.42578125" style="9" customWidth="1"/>
    <col min="12" max="14" width="14.42578125" style="9" customWidth="1"/>
    <col min="15" max="15" width="9.5703125" style="14" customWidth="1"/>
    <col min="16" max="16" width="30" style="1" customWidth="1"/>
    <col min="17" max="16384" width="9" style="1"/>
  </cols>
  <sheetData>
    <row r="1" spans="1:22" s="5" customFormat="1" ht="68.25" customHeight="1">
      <c r="A1" s="4"/>
      <c r="B1" s="7"/>
    </row>
    <row r="2" spans="1:22" s="18" customFormat="1" ht="43.5" customHeight="1" thickBot="1">
      <c r="A2" s="108"/>
      <c r="B2" s="687" t="s">
        <v>175</v>
      </c>
      <c r="C2" s="687"/>
      <c r="D2" s="687"/>
      <c r="E2" s="687"/>
      <c r="F2" s="687"/>
      <c r="G2" s="687"/>
      <c r="H2" s="687"/>
      <c r="I2" s="687"/>
      <c r="J2" s="687"/>
      <c r="K2" s="687"/>
      <c r="L2" s="687"/>
      <c r="M2" s="687"/>
      <c r="N2" s="687"/>
      <c r="O2" s="5"/>
      <c r="P2" s="109"/>
      <c r="Q2" s="38"/>
      <c r="R2" s="38"/>
      <c r="S2" s="38"/>
      <c r="T2" s="38"/>
      <c r="U2" s="38"/>
      <c r="V2" s="38"/>
    </row>
    <row r="3" spans="1:22" ht="37.5" customHeight="1" thickBot="1">
      <c r="B3" s="51" t="s">
        <v>135</v>
      </c>
      <c r="C3" s="682" t="s">
        <v>539</v>
      </c>
      <c r="D3" s="683"/>
      <c r="E3" s="683"/>
      <c r="F3" s="683"/>
      <c r="G3" s="683"/>
      <c r="H3" s="683"/>
      <c r="I3" s="683"/>
      <c r="J3" s="686"/>
      <c r="L3" s="682" t="s">
        <v>381</v>
      </c>
      <c r="M3" s="683"/>
      <c r="N3" s="686"/>
    </row>
    <row r="4" spans="1:22" s="16" customFormat="1">
      <c r="A4" s="15"/>
      <c r="B4" s="699"/>
      <c r="C4" s="690">
        <f>'Parameters '!C5</f>
        <v>2019</v>
      </c>
      <c r="D4" s="693">
        <f>'Parameters '!D5</f>
        <v>2020</v>
      </c>
      <c r="E4" s="696">
        <f>'Parameters '!E5</f>
        <v>2021</v>
      </c>
      <c r="F4" s="688" t="str">
        <f>'Parameters '!F6</f>
        <v>Q1/2022</v>
      </c>
      <c r="G4" s="688" t="str">
        <f>'Parameters '!G6</f>
        <v>Q2/2022</v>
      </c>
      <c r="H4" s="688" t="str">
        <f>'Parameters '!H6</f>
        <v>Q3/2022</v>
      </c>
      <c r="I4" s="688" t="str">
        <f>'Parameters '!I6</f>
        <v>Q4/2022</v>
      </c>
      <c r="J4" s="671">
        <f>E4+1</f>
        <v>2022</v>
      </c>
      <c r="K4" s="341"/>
      <c r="L4" s="704">
        <v>2023</v>
      </c>
      <c r="M4" s="707">
        <f>L4+1</f>
        <v>2024</v>
      </c>
      <c r="N4" s="710">
        <f>M4+1</f>
        <v>2025</v>
      </c>
    </row>
    <row r="5" spans="1:22" s="18" customFormat="1" ht="15.75" thickBot="1">
      <c r="A5" s="17"/>
      <c r="B5" s="700"/>
      <c r="C5" s="691"/>
      <c r="D5" s="694"/>
      <c r="E5" s="697"/>
      <c r="F5" s="689"/>
      <c r="G5" s="689"/>
      <c r="H5" s="689"/>
      <c r="I5" s="689"/>
      <c r="J5" s="672"/>
      <c r="K5" s="342"/>
      <c r="L5" s="705"/>
      <c r="M5" s="708"/>
      <c r="N5" s="711"/>
    </row>
    <row r="6" spans="1:22" ht="15.75" thickBot="1">
      <c r="A6" s="15"/>
      <c r="B6" s="701"/>
      <c r="C6" s="692"/>
      <c r="D6" s="695"/>
      <c r="E6" s="698"/>
      <c r="F6" s="19"/>
      <c r="G6" s="19"/>
      <c r="H6" s="19"/>
      <c r="I6" s="52"/>
      <c r="J6" s="673"/>
      <c r="K6" s="343"/>
      <c r="L6" s="706"/>
      <c r="M6" s="709"/>
      <c r="N6" s="712"/>
      <c r="P6" s="14"/>
      <c r="Q6" s="14"/>
      <c r="R6" s="14"/>
    </row>
    <row r="7" spans="1:22" s="18" customFormat="1" ht="23.25" customHeight="1">
      <c r="A7" s="17"/>
      <c r="B7" s="520" t="s">
        <v>385</v>
      </c>
      <c r="C7" s="103"/>
      <c r="D7" s="90"/>
      <c r="E7" s="90"/>
      <c r="F7" s="90"/>
      <c r="G7" s="90"/>
      <c r="H7" s="90"/>
      <c r="I7" s="90"/>
      <c r="J7" s="90"/>
      <c r="K7" s="344"/>
      <c r="L7" s="90"/>
      <c r="M7" s="90"/>
      <c r="N7" s="90"/>
    </row>
    <row r="8" spans="1:22" ht="35.25" customHeight="1">
      <c r="B8" s="24" t="s">
        <v>382</v>
      </c>
      <c r="C8" s="70">
        <v>1000</v>
      </c>
      <c r="D8" s="101">
        <f t="shared" ref="D8:I8" si="0">C12</f>
        <v>5180</v>
      </c>
      <c r="E8" s="85">
        <f t="shared" si="0"/>
        <v>9778</v>
      </c>
      <c r="F8" s="57">
        <f t="shared" si="0"/>
        <v>14835.8</v>
      </c>
      <c r="G8" s="57">
        <f t="shared" si="0"/>
        <v>20399.380000000005</v>
      </c>
      <c r="H8" s="57">
        <f t="shared" si="0"/>
        <v>26519.318000000007</v>
      </c>
      <c r="I8" s="57">
        <f t="shared" si="0"/>
        <v>33251.249800000005</v>
      </c>
      <c r="J8" s="399">
        <f>+E12</f>
        <v>14835.8</v>
      </c>
      <c r="K8" s="345"/>
      <c r="L8" s="57">
        <f>J12</f>
        <v>40656.374780000013</v>
      </c>
      <c r="M8" s="57">
        <f>L12</f>
        <v>69059.007038000025</v>
      </c>
      <c r="N8" s="57">
        <f>M12</f>
        <v>100301.90252180003</v>
      </c>
      <c r="P8" s="26"/>
    </row>
    <row r="9" spans="1:22" ht="19.5" customHeight="1">
      <c r="B9" s="24" t="s">
        <v>176</v>
      </c>
      <c r="C9" s="71">
        <v>5000</v>
      </c>
      <c r="D9" s="102">
        <f>C9*1.1</f>
        <v>5500</v>
      </c>
      <c r="E9" s="102">
        <f t="shared" ref="E9:I9" si="1">D9*1.1</f>
        <v>6050.0000000000009</v>
      </c>
      <c r="F9" s="102">
        <f t="shared" si="1"/>
        <v>6655.0000000000018</v>
      </c>
      <c r="G9" s="102">
        <f t="shared" si="1"/>
        <v>7320.5000000000027</v>
      </c>
      <c r="H9" s="102">
        <f t="shared" si="1"/>
        <v>8052.5500000000038</v>
      </c>
      <c r="I9" s="102">
        <f t="shared" si="1"/>
        <v>8857.8050000000057</v>
      </c>
      <c r="J9" s="399">
        <f>SUM(F9:I9)</f>
        <v>30885.85500000001</v>
      </c>
      <c r="K9" s="345"/>
      <c r="L9" s="57">
        <f>J9*1.1</f>
        <v>33974.440500000012</v>
      </c>
      <c r="M9" s="57">
        <f>L9*1.1</f>
        <v>37371.884550000017</v>
      </c>
      <c r="N9" s="57">
        <f>M9*1.1</f>
        <v>41109.07300500002</v>
      </c>
      <c r="P9" s="27"/>
    </row>
    <row r="10" spans="1:22" ht="28.5" customHeight="1">
      <c r="B10" s="24" t="s">
        <v>177</v>
      </c>
      <c r="C10" s="71">
        <v>800</v>
      </c>
      <c r="D10" s="102">
        <f t="shared" ref="D10:I11" si="2">C10*1.1</f>
        <v>880.00000000000011</v>
      </c>
      <c r="E10" s="102">
        <f t="shared" si="2"/>
        <v>968.00000000000023</v>
      </c>
      <c r="F10" s="102">
        <f t="shared" si="2"/>
        <v>1064.8000000000004</v>
      </c>
      <c r="G10" s="102">
        <f t="shared" si="2"/>
        <v>1171.2800000000007</v>
      </c>
      <c r="H10" s="102">
        <f t="shared" si="2"/>
        <v>1288.4080000000008</v>
      </c>
      <c r="I10" s="102">
        <f t="shared" si="2"/>
        <v>1417.248800000001</v>
      </c>
      <c r="J10" s="399">
        <f>SUM(F10:I10)</f>
        <v>4941.7368000000024</v>
      </c>
      <c r="K10" s="345"/>
      <c r="L10" s="57">
        <f t="shared" ref="L10:L11" si="3">J10*1.1</f>
        <v>5435.9104800000032</v>
      </c>
      <c r="M10" s="57">
        <f t="shared" ref="M10:N11" si="4">L10*1.1</f>
        <v>5979.5015280000043</v>
      </c>
      <c r="N10" s="57">
        <f t="shared" si="4"/>
        <v>6577.4516808000053</v>
      </c>
    </row>
    <row r="11" spans="1:22" ht="19.5" customHeight="1">
      <c r="B11" s="24" t="s">
        <v>178</v>
      </c>
      <c r="C11" s="70">
        <v>20</v>
      </c>
      <c r="D11" s="102">
        <f t="shared" si="2"/>
        <v>22</v>
      </c>
      <c r="E11" s="102">
        <f t="shared" si="2"/>
        <v>24.200000000000003</v>
      </c>
      <c r="F11" s="102">
        <f t="shared" si="2"/>
        <v>26.620000000000005</v>
      </c>
      <c r="G11" s="102">
        <f t="shared" si="2"/>
        <v>29.282000000000007</v>
      </c>
      <c r="H11" s="102">
        <f t="shared" si="2"/>
        <v>32.210200000000007</v>
      </c>
      <c r="I11" s="102">
        <f t="shared" si="2"/>
        <v>35.43122000000001</v>
      </c>
      <c r="J11" s="399">
        <f>SUM(F11:I11)</f>
        <v>123.54342000000004</v>
      </c>
      <c r="K11" s="345"/>
      <c r="L11" s="57">
        <f t="shared" si="3"/>
        <v>135.89776200000006</v>
      </c>
      <c r="M11" s="57">
        <f t="shared" si="4"/>
        <v>149.48753820000007</v>
      </c>
      <c r="N11" s="57">
        <f t="shared" si="4"/>
        <v>164.43629202000008</v>
      </c>
    </row>
    <row r="12" spans="1:22" ht="30.75" customHeight="1">
      <c r="B12" s="93" t="s">
        <v>179</v>
      </c>
      <c r="C12" s="94">
        <f t="shared" ref="C12:J12" si="5">+C8+C9-C10-C11</f>
        <v>5180</v>
      </c>
      <c r="D12" s="94">
        <f t="shared" si="5"/>
        <v>9778</v>
      </c>
      <c r="E12" s="94">
        <f t="shared" si="5"/>
        <v>14835.8</v>
      </c>
      <c r="F12" s="94">
        <f t="shared" si="5"/>
        <v>20399.380000000005</v>
      </c>
      <c r="G12" s="94">
        <f t="shared" si="5"/>
        <v>26519.318000000007</v>
      </c>
      <c r="H12" s="94">
        <f t="shared" si="5"/>
        <v>33251.249800000005</v>
      </c>
      <c r="I12" s="94">
        <f t="shared" si="5"/>
        <v>40656.374780000013</v>
      </c>
      <c r="J12" s="94">
        <f t="shared" si="5"/>
        <v>40656.374780000013</v>
      </c>
      <c r="K12" s="345"/>
      <c r="L12" s="94">
        <f>+L8+L9-L10-L11</f>
        <v>69059.007038000025</v>
      </c>
      <c r="M12" s="94">
        <f>+M8+M9-M10-M11</f>
        <v>100301.90252180003</v>
      </c>
      <c r="N12" s="94">
        <f>+N8+N9-N10-N11</f>
        <v>134669.08755398006</v>
      </c>
      <c r="P12" s="26"/>
    </row>
    <row r="13" spans="1:22" ht="32.25" customHeight="1">
      <c r="B13" s="93" t="s">
        <v>425</v>
      </c>
      <c r="C13" s="94">
        <v>800</v>
      </c>
      <c r="D13" s="94">
        <f t="shared" ref="D13:I13" si="6">C18</f>
        <v>4780</v>
      </c>
      <c r="E13" s="94">
        <f t="shared" si="6"/>
        <v>9158</v>
      </c>
      <c r="F13" s="94">
        <f t="shared" si="6"/>
        <v>13973.8</v>
      </c>
      <c r="G13" s="94">
        <f t="shared" si="6"/>
        <v>19271.180000000004</v>
      </c>
      <c r="H13" s="94">
        <f t="shared" si="6"/>
        <v>25098.298000000006</v>
      </c>
      <c r="I13" s="94">
        <f t="shared" si="6"/>
        <v>31508.127800000006</v>
      </c>
      <c r="J13" s="94">
        <f>E18</f>
        <v>13973.8</v>
      </c>
      <c r="K13" s="345"/>
      <c r="L13" s="94">
        <f>J18</f>
        <v>38558.94058000001</v>
      </c>
      <c r="M13" s="94">
        <f>L18</f>
        <v>38561.94058000001</v>
      </c>
      <c r="N13" s="94">
        <f>M18</f>
        <v>38568.94058000001</v>
      </c>
      <c r="P13" s="26"/>
    </row>
    <row r="14" spans="1:22" ht="33.75" customHeight="1">
      <c r="B14" s="24" t="s">
        <v>426</v>
      </c>
      <c r="C14" s="70">
        <f>C13</f>
        <v>800</v>
      </c>
      <c r="D14" s="79">
        <f>C18</f>
        <v>4780</v>
      </c>
      <c r="E14" s="79">
        <f t="shared" ref="E14:I14" si="7">D18</f>
        <v>9158</v>
      </c>
      <c r="F14" s="79">
        <f t="shared" si="7"/>
        <v>13973.8</v>
      </c>
      <c r="G14" s="79">
        <f t="shared" si="7"/>
        <v>19271.180000000004</v>
      </c>
      <c r="H14" s="79">
        <f t="shared" si="7"/>
        <v>25098.298000000006</v>
      </c>
      <c r="I14" s="79">
        <f t="shared" si="7"/>
        <v>31508.127800000006</v>
      </c>
      <c r="J14" s="399">
        <f>E18</f>
        <v>13973.8</v>
      </c>
      <c r="K14" s="345"/>
      <c r="L14" s="57">
        <f>J18</f>
        <v>38558.94058000001</v>
      </c>
      <c r="M14" s="57">
        <f>L18</f>
        <v>38561.94058000001</v>
      </c>
      <c r="N14" s="57">
        <f>M18</f>
        <v>38568.94058000001</v>
      </c>
    </row>
    <row r="15" spans="1:22" ht="19.5" customHeight="1">
      <c r="B15" s="24" t="s">
        <v>176</v>
      </c>
      <c r="C15" s="71">
        <v>6000</v>
      </c>
      <c r="D15" s="80">
        <f>C15*1.1</f>
        <v>6600.0000000000009</v>
      </c>
      <c r="E15" s="80">
        <f t="shared" ref="E15:I15" si="8">D15*1.1</f>
        <v>7260.0000000000018</v>
      </c>
      <c r="F15" s="80">
        <f t="shared" si="8"/>
        <v>7986.0000000000027</v>
      </c>
      <c r="G15" s="80">
        <f t="shared" si="8"/>
        <v>8784.600000000004</v>
      </c>
      <c r="H15" s="80">
        <f t="shared" si="8"/>
        <v>9663.0600000000049</v>
      </c>
      <c r="I15" s="80">
        <f t="shared" si="8"/>
        <v>10629.366000000005</v>
      </c>
      <c r="J15" s="399">
        <f>SUM(F15:I15)</f>
        <v>37063.026000000013</v>
      </c>
      <c r="K15" s="345"/>
      <c r="L15" s="57">
        <v>7</v>
      </c>
      <c r="M15" s="57">
        <v>10</v>
      </c>
      <c r="N15" s="57">
        <v>12</v>
      </c>
    </row>
    <row r="16" spans="1:22" ht="28.5" customHeight="1">
      <c r="B16" s="24" t="s">
        <v>177</v>
      </c>
      <c r="C16" s="71">
        <v>2000</v>
      </c>
      <c r="D16" s="80">
        <f t="shared" ref="D16:I17" si="9">C16*1.1</f>
        <v>2200</v>
      </c>
      <c r="E16" s="80">
        <f t="shared" si="9"/>
        <v>2420</v>
      </c>
      <c r="F16" s="80">
        <f t="shared" si="9"/>
        <v>2662</v>
      </c>
      <c r="G16" s="80">
        <f t="shared" si="9"/>
        <v>2928.2000000000003</v>
      </c>
      <c r="H16" s="80">
        <f t="shared" si="9"/>
        <v>3221.0200000000004</v>
      </c>
      <c r="I16" s="80">
        <f t="shared" si="9"/>
        <v>3543.1220000000008</v>
      </c>
      <c r="J16" s="399">
        <f>SUM(F16:I16)</f>
        <v>12354.342000000002</v>
      </c>
      <c r="K16" s="345"/>
      <c r="L16" s="57">
        <v>4</v>
      </c>
      <c r="M16" s="57">
        <v>2</v>
      </c>
      <c r="N16" s="57">
        <v>3</v>
      </c>
    </row>
    <row r="17" spans="1:16" ht="19.5" customHeight="1">
      <c r="B17" s="24" t="s">
        <v>427</v>
      </c>
      <c r="C17" s="71">
        <v>20</v>
      </c>
      <c r="D17" s="80">
        <f t="shared" si="9"/>
        <v>22</v>
      </c>
      <c r="E17" s="80">
        <f t="shared" si="9"/>
        <v>24.200000000000003</v>
      </c>
      <c r="F17" s="80">
        <f t="shared" si="9"/>
        <v>26.620000000000005</v>
      </c>
      <c r="G17" s="80">
        <f t="shared" si="9"/>
        <v>29.282000000000007</v>
      </c>
      <c r="H17" s="80">
        <f t="shared" si="9"/>
        <v>32.210200000000007</v>
      </c>
      <c r="I17" s="80">
        <f t="shared" si="9"/>
        <v>35.43122000000001</v>
      </c>
      <c r="J17" s="399">
        <f>SUM(F17:I17)</f>
        <v>123.54342000000004</v>
      </c>
      <c r="K17" s="345"/>
      <c r="L17" s="57">
        <v>0</v>
      </c>
      <c r="M17" s="57">
        <v>1</v>
      </c>
      <c r="N17" s="57">
        <v>3</v>
      </c>
      <c r="P17" s="26"/>
    </row>
    <row r="18" spans="1:16" s="32" customFormat="1" ht="19.5" customHeight="1">
      <c r="A18" s="9"/>
      <c r="B18" s="93" t="s">
        <v>179</v>
      </c>
      <c r="C18" s="93">
        <f t="shared" ref="C18:J18" si="10">+C14+C15-C16-C17</f>
        <v>4780</v>
      </c>
      <c r="D18" s="93">
        <f t="shared" si="10"/>
        <v>9158</v>
      </c>
      <c r="E18" s="93">
        <f t="shared" si="10"/>
        <v>13973.8</v>
      </c>
      <c r="F18" s="93">
        <f t="shared" si="10"/>
        <v>19271.180000000004</v>
      </c>
      <c r="G18" s="93">
        <f t="shared" si="10"/>
        <v>25098.298000000006</v>
      </c>
      <c r="H18" s="93">
        <f t="shared" si="10"/>
        <v>31508.127800000006</v>
      </c>
      <c r="I18" s="93">
        <f t="shared" si="10"/>
        <v>38558.94058000001</v>
      </c>
      <c r="J18" s="93">
        <f t="shared" si="10"/>
        <v>38558.94058000001</v>
      </c>
      <c r="K18" s="346"/>
      <c r="L18" s="93">
        <f>+L14+L15-L16-L17</f>
        <v>38561.94058000001</v>
      </c>
      <c r="M18" s="93">
        <f>+M14+M15-M16-M17</f>
        <v>38568.94058000001</v>
      </c>
      <c r="N18" s="93">
        <f>+N14+N15-N16-N17</f>
        <v>38574.94058000001</v>
      </c>
      <c r="O18" s="14"/>
    </row>
    <row r="19" spans="1:16" s="32" customFormat="1" ht="19.5" customHeight="1">
      <c r="A19" s="9"/>
      <c r="B19" s="93" t="s">
        <v>428</v>
      </c>
      <c r="C19" s="94">
        <f>C24</f>
        <v>1049500</v>
      </c>
      <c r="D19" s="94">
        <f t="shared" ref="D19:I19" si="11">D24</f>
        <v>1574250</v>
      </c>
      <c r="E19" s="94">
        <f t="shared" si="11"/>
        <v>2361375</v>
      </c>
      <c r="F19" s="94">
        <f t="shared" si="11"/>
        <v>3542062.5</v>
      </c>
      <c r="G19" s="94">
        <f t="shared" si="11"/>
        <v>5313093.75</v>
      </c>
      <c r="H19" s="94">
        <f t="shared" si="11"/>
        <v>7969640.625</v>
      </c>
      <c r="I19" s="94">
        <f t="shared" si="11"/>
        <v>11954460.9375</v>
      </c>
      <c r="J19" s="399">
        <f>I19</f>
        <v>11954460.9375</v>
      </c>
      <c r="K19" s="345"/>
      <c r="L19" s="94">
        <f>J24</f>
        <v>11954460.9375</v>
      </c>
      <c r="M19" s="94">
        <f>L24</f>
        <v>27096018.75</v>
      </c>
      <c r="N19" s="94">
        <f>M24</f>
        <v>42237576.5625</v>
      </c>
      <c r="O19" s="14"/>
    </row>
    <row r="20" spans="1:16" s="32" customFormat="1" ht="19.5" customHeight="1">
      <c r="A20" s="9"/>
      <c r="B20" s="24" t="s">
        <v>383</v>
      </c>
      <c r="C20" s="70">
        <v>100000</v>
      </c>
      <c r="D20" s="79">
        <f>C20*1.5</f>
        <v>150000</v>
      </c>
      <c r="E20" s="79">
        <f t="shared" ref="E20:I20" si="12">D20*1.5</f>
        <v>225000</v>
      </c>
      <c r="F20" s="79">
        <f t="shared" si="12"/>
        <v>337500</v>
      </c>
      <c r="G20" s="79">
        <f t="shared" si="12"/>
        <v>506250</v>
      </c>
      <c r="H20" s="79">
        <f t="shared" si="12"/>
        <v>759375</v>
      </c>
      <c r="I20" s="79">
        <f t="shared" si="12"/>
        <v>1139062.5</v>
      </c>
      <c r="J20" s="399">
        <f t="shared" ref="J20:J23" si="13">I20</f>
        <v>1139062.5</v>
      </c>
      <c r="K20" s="345"/>
      <c r="L20" s="57">
        <f>J24</f>
        <v>11954460.9375</v>
      </c>
      <c r="M20" s="57">
        <f>L24</f>
        <v>27096018.75</v>
      </c>
      <c r="N20" s="57">
        <f>M24</f>
        <v>42237576.5625</v>
      </c>
      <c r="O20" s="14"/>
    </row>
    <row r="21" spans="1:16" s="32" customFormat="1" ht="19.5" customHeight="1">
      <c r="A21" s="9"/>
      <c r="B21" s="24" t="s">
        <v>180</v>
      </c>
      <c r="C21" s="71">
        <v>1000000</v>
      </c>
      <c r="D21" s="79">
        <f t="shared" ref="D21:I23" si="14">C21*1.5</f>
        <v>1500000</v>
      </c>
      <c r="E21" s="79">
        <f t="shared" si="14"/>
        <v>2250000</v>
      </c>
      <c r="F21" s="79">
        <f t="shared" si="14"/>
        <v>3375000</v>
      </c>
      <c r="G21" s="79">
        <f t="shared" si="14"/>
        <v>5062500</v>
      </c>
      <c r="H21" s="79">
        <f t="shared" si="14"/>
        <v>7593750</v>
      </c>
      <c r="I21" s="79">
        <f t="shared" si="14"/>
        <v>11390625</v>
      </c>
      <c r="J21" s="399">
        <f t="shared" si="13"/>
        <v>11390625</v>
      </c>
      <c r="K21" s="345"/>
      <c r="L21" s="57">
        <f>J21*1.4</f>
        <v>15946874.999999998</v>
      </c>
      <c r="M21" s="57">
        <f>J21*1.4</f>
        <v>15946874.999999998</v>
      </c>
      <c r="N21" s="57">
        <f t="shared" ref="M21:N23" si="15">L21*1.4</f>
        <v>22325624.999999996</v>
      </c>
      <c r="O21" s="14"/>
    </row>
    <row r="22" spans="1:16" s="32" customFormat="1" ht="19.5" customHeight="1">
      <c r="A22" s="9"/>
      <c r="B22" s="24" t="s">
        <v>181</v>
      </c>
      <c r="C22" s="71">
        <v>50000</v>
      </c>
      <c r="D22" s="79">
        <f t="shared" si="14"/>
        <v>75000</v>
      </c>
      <c r="E22" s="79">
        <f t="shared" si="14"/>
        <v>112500</v>
      </c>
      <c r="F22" s="79">
        <f t="shared" si="14"/>
        <v>168750</v>
      </c>
      <c r="G22" s="79">
        <f t="shared" si="14"/>
        <v>253125</v>
      </c>
      <c r="H22" s="79">
        <f t="shared" si="14"/>
        <v>379687.5</v>
      </c>
      <c r="I22" s="79">
        <f t="shared" si="14"/>
        <v>569531.25</v>
      </c>
      <c r="J22" s="399">
        <f t="shared" si="13"/>
        <v>569531.25</v>
      </c>
      <c r="K22" s="345"/>
      <c r="L22" s="57">
        <f t="shared" ref="L22:L23" si="16">J22*1.4</f>
        <v>797343.75</v>
      </c>
      <c r="M22" s="57">
        <f t="shared" ref="M22:M23" si="17">J22*1.4</f>
        <v>797343.75</v>
      </c>
      <c r="N22" s="57">
        <f t="shared" si="15"/>
        <v>1116281.25</v>
      </c>
      <c r="O22" s="14"/>
    </row>
    <row r="23" spans="1:16" s="32" customFormat="1" ht="19.5" customHeight="1">
      <c r="A23" s="9"/>
      <c r="B23" s="24" t="s">
        <v>182</v>
      </c>
      <c r="C23" s="71">
        <v>500</v>
      </c>
      <c r="D23" s="79">
        <f t="shared" si="14"/>
        <v>750</v>
      </c>
      <c r="E23" s="79">
        <f t="shared" si="14"/>
        <v>1125</v>
      </c>
      <c r="F23" s="79">
        <f t="shared" si="14"/>
        <v>1687.5</v>
      </c>
      <c r="G23" s="79">
        <f t="shared" si="14"/>
        <v>2531.25</v>
      </c>
      <c r="H23" s="79">
        <f t="shared" si="14"/>
        <v>3796.875</v>
      </c>
      <c r="I23" s="79">
        <f t="shared" si="14"/>
        <v>5695.3125</v>
      </c>
      <c r="J23" s="399">
        <f t="shared" si="13"/>
        <v>5695.3125</v>
      </c>
      <c r="K23" s="345"/>
      <c r="L23" s="57">
        <f t="shared" si="16"/>
        <v>7973.4374999999991</v>
      </c>
      <c r="M23" s="57">
        <f t="shared" si="17"/>
        <v>7973.4374999999991</v>
      </c>
      <c r="N23" s="57">
        <f t="shared" si="15"/>
        <v>11162.812499999998</v>
      </c>
      <c r="O23" s="14"/>
    </row>
    <row r="24" spans="1:16" s="32" customFormat="1" ht="19.5" customHeight="1">
      <c r="A24" s="9"/>
      <c r="B24" s="93" t="s">
        <v>183</v>
      </c>
      <c r="C24" s="93">
        <f t="shared" ref="C24:J24" si="18">+C20+C21-C22-C23</f>
        <v>1049500</v>
      </c>
      <c r="D24" s="93">
        <f t="shared" si="18"/>
        <v>1574250</v>
      </c>
      <c r="E24" s="93">
        <f t="shared" si="18"/>
        <v>2361375</v>
      </c>
      <c r="F24" s="93">
        <f t="shared" si="18"/>
        <v>3542062.5</v>
      </c>
      <c r="G24" s="93">
        <f t="shared" si="18"/>
        <v>5313093.75</v>
      </c>
      <c r="H24" s="93">
        <f t="shared" si="18"/>
        <v>7969640.625</v>
      </c>
      <c r="I24" s="93">
        <f t="shared" si="18"/>
        <v>11954460.9375</v>
      </c>
      <c r="J24" s="93">
        <f t="shared" si="18"/>
        <v>11954460.9375</v>
      </c>
      <c r="K24" s="346"/>
      <c r="L24" s="93">
        <f>+L20+L21-L22-L23</f>
        <v>27096018.75</v>
      </c>
      <c r="M24" s="93">
        <f>+M20+M21-M22-M23</f>
        <v>42237576.5625</v>
      </c>
      <c r="N24" s="93">
        <f>+N20+N21-N22-N23</f>
        <v>63435757.5</v>
      </c>
      <c r="O24" s="14"/>
    </row>
    <row r="25" spans="1:16" s="32" customFormat="1" ht="19.5" customHeight="1">
      <c r="A25" s="9"/>
      <c r="B25" s="93" t="s">
        <v>429</v>
      </c>
      <c r="C25" s="71"/>
      <c r="D25" s="80"/>
      <c r="E25" s="86"/>
      <c r="F25" s="53"/>
      <c r="G25" s="53"/>
      <c r="H25" s="53"/>
      <c r="I25" s="53"/>
      <c r="J25" s="399">
        <f>SUM(F25:I25)</f>
        <v>0</v>
      </c>
      <c r="K25" s="345"/>
      <c r="L25" s="57"/>
      <c r="M25" s="57"/>
      <c r="N25" s="57"/>
      <c r="O25" s="14"/>
    </row>
    <row r="26" spans="1:16" s="32" customFormat="1" ht="19.5" customHeight="1">
      <c r="A26" s="9"/>
      <c r="B26" s="456"/>
      <c r="C26" s="23"/>
      <c r="D26" s="23"/>
      <c r="E26" s="23"/>
      <c r="F26" s="23"/>
      <c r="G26" s="23"/>
      <c r="H26" s="23"/>
      <c r="I26" s="23"/>
      <c r="J26" s="23"/>
      <c r="K26" s="347"/>
      <c r="L26" s="23"/>
      <c r="M26" s="23"/>
      <c r="N26" s="414"/>
      <c r="O26" s="14"/>
    </row>
    <row r="27" spans="1:16" s="16" customFormat="1" ht="18.75">
      <c r="A27" s="15"/>
      <c r="B27" s="520" t="s">
        <v>184</v>
      </c>
      <c r="C27" s="95"/>
      <c r="D27" s="78"/>
      <c r="E27" s="78"/>
      <c r="F27" s="78"/>
      <c r="G27" s="78"/>
      <c r="H27" s="78"/>
      <c r="I27" s="78"/>
      <c r="J27" s="78"/>
      <c r="K27" s="344"/>
      <c r="L27" s="78"/>
      <c r="M27" s="78"/>
      <c r="N27" s="96"/>
    </row>
    <row r="28" spans="1:16" s="36" customFormat="1" ht="19.5" customHeight="1">
      <c r="A28" s="35"/>
      <c r="B28" s="24" t="s">
        <v>185</v>
      </c>
      <c r="C28" s="71">
        <v>0</v>
      </c>
      <c r="D28" s="80">
        <v>0</v>
      </c>
      <c r="E28" s="86">
        <v>0</v>
      </c>
      <c r="F28" s="53">
        <v>0</v>
      </c>
      <c r="G28" s="53">
        <v>0</v>
      </c>
      <c r="H28" s="53">
        <v>0</v>
      </c>
      <c r="I28" s="53">
        <v>0</v>
      </c>
      <c r="J28" s="399">
        <f>SUM(F28:I28)</f>
        <v>0</v>
      </c>
      <c r="K28" s="345"/>
      <c r="L28" s="57">
        <v>0</v>
      </c>
      <c r="M28" s="57">
        <v>0</v>
      </c>
      <c r="N28" s="57">
        <v>0</v>
      </c>
    </row>
    <row r="29" spans="1:16" s="36" customFormat="1" ht="19.5" customHeight="1">
      <c r="A29" s="35"/>
      <c r="B29" s="24" t="s">
        <v>186</v>
      </c>
      <c r="C29" s="71">
        <v>0</v>
      </c>
      <c r="D29" s="80">
        <v>0</v>
      </c>
      <c r="E29" s="86">
        <v>0</v>
      </c>
      <c r="F29" s="53">
        <v>0</v>
      </c>
      <c r="G29" s="53">
        <v>0</v>
      </c>
      <c r="H29" s="53">
        <v>0</v>
      </c>
      <c r="I29" s="53">
        <v>0</v>
      </c>
      <c r="J29" s="399">
        <f>SUM(F29:I29)</f>
        <v>0</v>
      </c>
      <c r="K29" s="345"/>
      <c r="L29" s="57">
        <v>0</v>
      </c>
      <c r="M29" s="57">
        <v>0</v>
      </c>
      <c r="N29" s="57">
        <v>0</v>
      </c>
    </row>
    <row r="30" spans="1:16" ht="18.75">
      <c r="A30" s="8"/>
      <c r="B30" s="520" t="s">
        <v>386</v>
      </c>
      <c r="C30" s="95"/>
      <c r="D30" s="78"/>
      <c r="E30" s="78"/>
      <c r="F30" s="78"/>
      <c r="G30" s="78"/>
      <c r="H30" s="78"/>
      <c r="I30" s="78"/>
      <c r="J30" s="78"/>
      <c r="K30" s="344"/>
      <c r="L30" s="78"/>
      <c r="M30" s="78"/>
      <c r="N30" s="96"/>
    </row>
    <row r="31" spans="1:16" ht="30">
      <c r="B31" s="24" t="s">
        <v>187</v>
      </c>
      <c r="C31" s="71"/>
      <c r="D31" s="80"/>
      <c r="E31" s="86">
        <v>0</v>
      </c>
      <c r="F31" s="53"/>
      <c r="G31" s="53"/>
      <c r="H31" s="53"/>
      <c r="I31" s="53"/>
      <c r="J31" s="399">
        <f>SUM(F31:I31)</f>
        <v>0</v>
      </c>
      <c r="K31" s="345"/>
      <c r="L31" s="57"/>
      <c r="M31" s="57"/>
      <c r="N31" s="57"/>
    </row>
    <row r="32" spans="1:16" ht="19.5" customHeight="1">
      <c r="B32" s="24" t="s">
        <v>188</v>
      </c>
      <c r="C32" s="71"/>
      <c r="D32" s="80"/>
      <c r="E32" s="86">
        <v>0</v>
      </c>
      <c r="F32" s="53"/>
      <c r="G32" s="53"/>
      <c r="H32" s="53"/>
      <c r="I32" s="53"/>
      <c r="J32" s="399">
        <f>SUM(F32:I32)</f>
        <v>0</v>
      </c>
      <c r="K32" s="345"/>
      <c r="L32" s="57"/>
      <c r="M32" s="57"/>
      <c r="N32" s="57"/>
    </row>
    <row r="33" spans="1:16" ht="19.5" customHeight="1">
      <c r="B33" s="24"/>
      <c r="C33" s="73"/>
      <c r="D33" s="82"/>
      <c r="E33" s="88"/>
      <c r="F33" s="31"/>
      <c r="G33" s="31"/>
      <c r="H33" s="31"/>
      <c r="I33" s="31"/>
      <c r="J33" s="400"/>
      <c r="K33" s="348"/>
      <c r="N33" s="415"/>
    </row>
    <row r="34" spans="1:16" s="8" customFormat="1" ht="19.5" customHeight="1">
      <c r="A34" s="9"/>
      <c r="B34" s="37" t="s">
        <v>189</v>
      </c>
      <c r="C34" s="70"/>
      <c r="D34" s="79">
        <f t="shared" ref="D34:I34" si="19">D17</f>
        <v>22</v>
      </c>
      <c r="E34" s="85">
        <f t="shared" si="19"/>
        <v>24.200000000000003</v>
      </c>
      <c r="F34" s="57">
        <f t="shared" si="19"/>
        <v>26.620000000000005</v>
      </c>
      <c r="G34" s="57">
        <f t="shared" si="19"/>
        <v>29.282000000000007</v>
      </c>
      <c r="H34" s="57">
        <f t="shared" si="19"/>
        <v>32.210200000000007</v>
      </c>
      <c r="I34" s="57">
        <f t="shared" si="19"/>
        <v>35.43122000000001</v>
      </c>
      <c r="J34" s="399">
        <f>+SUM(F34:I34)</f>
        <v>123.54342000000004</v>
      </c>
      <c r="K34" s="345"/>
      <c r="L34" s="57">
        <f>L17</f>
        <v>0</v>
      </c>
      <c r="M34" s="57">
        <f>M17</f>
        <v>1</v>
      </c>
      <c r="N34" s="57">
        <f>N17</f>
        <v>3</v>
      </c>
      <c r="O34" s="9"/>
    </row>
    <row r="35" spans="1:16" ht="32.25" customHeight="1">
      <c r="B35" s="37" t="s">
        <v>190</v>
      </c>
      <c r="C35" s="71"/>
      <c r="D35" s="80"/>
      <c r="E35" s="86"/>
      <c r="F35" s="53"/>
      <c r="G35" s="53"/>
      <c r="H35" s="53"/>
      <c r="I35" s="53"/>
      <c r="J35" s="399">
        <f>SUM(F35:I35)</f>
        <v>0</v>
      </c>
      <c r="K35" s="345"/>
      <c r="L35" s="57"/>
      <c r="M35" s="57"/>
      <c r="N35" s="57"/>
    </row>
    <row r="36" spans="1:16" ht="19.5" customHeight="1">
      <c r="B36" s="37" t="s">
        <v>191</v>
      </c>
      <c r="C36" s="74"/>
      <c r="D36" s="79">
        <f t="shared" ref="D36:J36" si="20">D34-D35</f>
        <v>22</v>
      </c>
      <c r="E36" s="85">
        <f t="shared" si="20"/>
        <v>24.200000000000003</v>
      </c>
      <c r="F36" s="57">
        <f t="shared" si="20"/>
        <v>26.620000000000005</v>
      </c>
      <c r="G36" s="57">
        <f t="shared" si="20"/>
        <v>29.282000000000007</v>
      </c>
      <c r="H36" s="57">
        <f t="shared" si="20"/>
        <v>32.210200000000007</v>
      </c>
      <c r="I36" s="57">
        <f t="shared" si="20"/>
        <v>35.43122000000001</v>
      </c>
      <c r="J36" s="401">
        <f t="shared" si="20"/>
        <v>123.54342000000004</v>
      </c>
      <c r="K36" s="349"/>
      <c r="L36" s="57">
        <f>L34-L35</f>
        <v>0</v>
      </c>
      <c r="M36" s="57">
        <f>M34-M35</f>
        <v>1</v>
      </c>
      <c r="N36" s="57">
        <f>N34-N35</f>
        <v>3</v>
      </c>
    </row>
    <row r="37" spans="1:16" ht="19.5" customHeight="1">
      <c r="B37" s="100"/>
      <c r="C37" s="99"/>
      <c r="D37" s="62"/>
      <c r="E37" s="62"/>
      <c r="F37" s="62"/>
      <c r="G37" s="62"/>
      <c r="H37" s="62"/>
      <c r="I37" s="62"/>
      <c r="J37" s="98"/>
      <c r="K37" s="350"/>
      <c r="L37" s="98"/>
      <c r="M37" s="98"/>
      <c r="N37" s="416"/>
    </row>
    <row r="38" spans="1:16" s="18" customFormat="1" ht="18.75">
      <c r="A38" s="15"/>
      <c r="B38" s="520" t="s">
        <v>384</v>
      </c>
      <c r="C38" s="95"/>
      <c r="D38" s="78"/>
      <c r="E38" s="78"/>
      <c r="F38" s="78"/>
      <c r="G38" s="78"/>
      <c r="H38" s="78"/>
      <c r="I38" s="78"/>
      <c r="J38" s="78"/>
      <c r="K38" s="344"/>
      <c r="L38" s="78"/>
      <c r="M38" s="78"/>
      <c r="N38" s="96"/>
      <c r="O38" s="38"/>
    </row>
    <row r="39" spans="1:16" ht="29.65" customHeight="1">
      <c r="B39" s="24" t="s">
        <v>192</v>
      </c>
      <c r="C39" s="71">
        <v>0</v>
      </c>
      <c r="D39" s="80">
        <v>0</v>
      </c>
      <c r="E39" s="86">
        <v>0</v>
      </c>
      <c r="F39" s="53">
        <v>0</v>
      </c>
      <c r="G39" s="53">
        <v>0</v>
      </c>
      <c r="H39" s="53">
        <v>0</v>
      </c>
      <c r="I39" s="53">
        <v>0</v>
      </c>
      <c r="J39" s="399">
        <v>0</v>
      </c>
      <c r="K39" s="345"/>
      <c r="L39" s="57"/>
      <c r="M39" s="57"/>
      <c r="N39" s="57"/>
    </row>
    <row r="40" spans="1:16" ht="32.25" customHeight="1">
      <c r="B40" s="24" t="s">
        <v>193</v>
      </c>
      <c r="C40" s="71"/>
      <c r="D40" s="80"/>
      <c r="E40" s="86"/>
      <c r="F40" s="53"/>
      <c r="G40" s="53"/>
      <c r="H40" s="53"/>
      <c r="I40" s="53"/>
      <c r="J40" s="399">
        <f>SUM(F40:I40)</f>
        <v>0</v>
      </c>
      <c r="K40" s="345"/>
      <c r="L40" s="57"/>
      <c r="M40" s="57"/>
      <c r="N40" s="57"/>
    </row>
    <row r="41" spans="1:16" s="32" customFormat="1" ht="18.75">
      <c r="A41" s="15"/>
      <c r="B41" s="520" t="s">
        <v>387</v>
      </c>
      <c r="C41" s="67"/>
      <c r="D41" s="90"/>
      <c r="E41" s="90"/>
      <c r="F41" s="90"/>
      <c r="G41" s="90"/>
      <c r="H41" s="90"/>
      <c r="I41" s="90"/>
      <c r="J41" s="90"/>
      <c r="K41" s="344"/>
      <c r="L41" s="90"/>
      <c r="M41" s="90"/>
      <c r="N41" s="91"/>
      <c r="O41" s="14"/>
      <c r="P41" s="39"/>
    </row>
    <row r="42" spans="1:16" ht="19.5" customHeight="1">
      <c r="A42" s="34"/>
      <c r="B42" s="24" t="s">
        <v>194</v>
      </c>
      <c r="C42" s="71"/>
      <c r="D42" s="80"/>
      <c r="E42" s="86"/>
      <c r="F42" s="53"/>
      <c r="G42" s="53"/>
      <c r="H42" s="53"/>
      <c r="I42" s="53"/>
      <c r="J42" s="399">
        <f t="shared" ref="J42:J53" si="21">IFERROR(SUMIF($F$5:$I$5,$D$2,F42:I42),0)</f>
        <v>0</v>
      </c>
      <c r="K42" s="345"/>
      <c r="L42" s="57"/>
      <c r="M42" s="57"/>
      <c r="N42" s="57"/>
      <c r="P42" s="26"/>
    </row>
    <row r="43" spans="1:16" ht="19.5" customHeight="1">
      <c r="A43" s="40"/>
      <c r="B43" s="41" t="s">
        <v>195</v>
      </c>
      <c r="C43" s="71"/>
      <c r="D43" s="80"/>
      <c r="E43" s="86"/>
      <c r="F43" s="53"/>
      <c r="G43" s="53"/>
      <c r="H43" s="53"/>
      <c r="I43" s="53"/>
      <c r="J43" s="399">
        <f t="shared" si="21"/>
        <v>0</v>
      </c>
      <c r="K43" s="345"/>
      <c r="L43" s="57"/>
      <c r="M43" s="57"/>
      <c r="N43" s="57"/>
    </row>
    <row r="44" spans="1:16" ht="19.5" customHeight="1">
      <c r="A44" s="40"/>
      <c r="B44" s="41" t="s">
        <v>196</v>
      </c>
      <c r="C44" s="71"/>
      <c r="D44" s="80"/>
      <c r="E44" s="86"/>
      <c r="F44" s="53"/>
      <c r="G44" s="53"/>
      <c r="H44" s="53"/>
      <c r="I44" s="53"/>
      <c r="J44" s="399">
        <f t="shared" si="21"/>
        <v>0</v>
      </c>
      <c r="K44" s="345"/>
      <c r="L44" s="57"/>
      <c r="M44" s="57"/>
      <c r="N44" s="57"/>
    </row>
    <row r="45" spans="1:16" ht="19.5" customHeight="1">
      <c r="A45" s="40"/>
      <c r="B45" s="41" t="s">
        <v>197</v>
      </c>
      <c r="C45" s="71"/>
      <c r="D45" s="80"/>
      <c r="E45" s="86"/>
      <c r="F45" s="53"/>
      <c r="G45" s="53"/>
      <c r="H45" s="53"/>
      <c r="I45" s="53"/>
      <c r="J45" s="399">
        <f t="shared" si="21"/>
        <v>0</v>
      </c>
      <c r="K45" s="345"/>
      <c r="L45" s="57"/>
      <c r="M45" s="57"/>
      <c r="N45" s="57"/>
    </row>
    <row r="46" spans="1:16" ht="19.5" customHeight="1">
      <c r="A46" s="40"/>
      <c r="B46" s="41" t="s">
        <v>198</v>
      </c>
      <c r="C46" s="71"/>
      <c r="D46" s="80"/>
      <c r="E46" s="86"/>
      <c r="F46" s="53"/>
      <c r="G46" s="53"/>
      <c r="H46" s="53"/>
      <c r="I46" s="53"/>
      <c r="J46" s="399">
        <f t="shared" si="21"/>
        <v>0</v>
      </c>
      <c r="K46" s="345"/>
      <c r="L46" s="57"/>
      <c r="M46" s="57"/>
      <c r="N46" s="57"/>
    </row>
    <row r="47" spans="1:16" ht="19.5" customHeight="1">
      <c r="A47" s="40"/>
      <c r="B47" s="41" t="s">
        <v>199</v>
      </c>
      <c r="C47" s="71"/>
      <c r="D47" s="80"/>
      <c r="E47" s="86"/>
      <c r="F47" s="53"/>
      <c r="G47" s="53">
        <v>0</v>
      </c>
      <c r="H47" s="53"/>
      <c r="I47" s="53"/>
      <c r="J47" s="399">
        <f t="shared" si="21"/>
        <v>0</v>
      </c>
      <c r="K47" s="345"/>
      <c r="L47" s="57"/>
      <c r="M47" s="57"/>
      <c r="N47" s="57"/>
    </row>
    <row r="48" spans="1:16" ht="19.5" customHeight="1">
      <c r="A48" s="40"/>
      <c r="B48" s="41" t="s">
        <v>200</v>
      </c>
      <c r="C48" s="71"/>
      <c r="D48" s="80"/>
      <c r="E48" s="86"/>
      <c r="F48" s="53"/>
      <c r="G48" s="53"/>
      <c r="H48" s="53"/>
      <c r="I48" s="53"/>
      <c r="J48" s="399">
        <f t="shared" si="21"/>
        <v>0</v>
      </c>
      <c r="K48" s="345"/>
      <c r="L48" s="57"/>
      <c r="M48" s="57"/>
      <c r="N48" s="57"/>
    </row>
    <row r="49" spans="1:16" ht="19.5" customHeight="1">
      <c r="A49" s="40"/>
      <c r="B49" s="41" t="s">
        <v>201</v>
      </c>
      <c r="C49" s="71"/>
      <c r="D49" s="80"/>
      <c r="E49" s="86"/>
      <c r="F49" s="53"/>
      <c r="G49" s="53"/>
      <c r="H49" s="53"/>
      <c r="I49" s="53"/>
      <c r="J49" s="399">
        <f t="shared" si="21"/>
        <v>0</v>
      </c>
      <c r="K49" s="345"/>
      <c r="L49" s="57"/>
      <c r="M49" s="57"/>
      <c r="N49" s="57"/>
      <c r="P49" s="26"/>
    </row>
    <row r="50" spans="1:16" ht="19.5" customHeight="1">
      <c r="A50" s="40"/>
      <c r="B50" s="24" t="s">
        <v>202</v>
      </c>
      <c r="C50" s="71"/>
      <c r="D50" s="80"/>
      <c r="E50" s="86"/>
      <c r="F50" s="53"/>
      <c r="G50" s="53"/>
      <c r="H50" s="53"/>
      <c r="I50" s="53"/>
      <c r="J50" s="399">
        <f t="shared" si="21"/>
        <v>0</v>
      </c>
      <c r="K50" s="345"/>
      <c r="L50" s="57"/>
      <c r="M50" s="57"/>
      <c r="N50" s="57"/>
      <c r="O50" s="42"/>
    </row>
    <row r="51" spans="1:16" ht="19.5" customHeight="1">
      <c r="A51" s="40"/>
      <c r="B51" s="92" t="s">
        <v>203</v>
      </c>
      <c r="C51" s="75"/>
      <c r="D51" s="70">
        <f t="shared" ref="D51:I51" si="22">SUM(D42:D50)</f>
        <v>0</v>
      </c>
      <c r="E51" s="70">
        <f t="shared" si="22"/>
        <v>0</v>
      </c>
      <c r="F51" s="70">
        <f t="shared" si="22"/>
        <v>0</v>
      </c>
      <c r="G51" s="70">
        <f t="shared" si="22"/>
        <v>0</v>
      </c>
      <c r="H51" s="70">
        <f t="shared" si="22"/>
        <v>0</v>
      </c>
      <c r="I51" s="70">
        <f t="shared" si="22"/>
        <v>0</v>
      </c>
      <c r="J51" s="70">
        <f t="shared" si="21"/>
        <v>0</v>
      </c>
      <c r="K51" s="345"/>
      <c r="L51" s="70"/>
      <c r="M51" s="70"/>
      <c r="N51" s="70"/>
    </row>
    <row r="52" spans="1:16" ht="19.5" customHeight="1">
      <c r="A52" s="40"/>
      <c r="B52" s="92" t="s">
        <v>204</v>
      </c>
      <c r="C52" s="75"/>
      <c r="D52" s="70">
        <f t="shared" ref="D52:I52" si="23">SUM(D44:D48)</f>
        <v>0</v>
      </c>
      <c r="E52" s="70">
        <f t="shared" si="23"/>
        <v>0</v>
      </c>
      <c r="F52" s="70">
        <f t="shared" si="23"/>
        <v>0</v>
      </c>
      <c r="G52" s="70">
        <f t="shared" si="23"/>
        <v>0</v>
      </c>
      <c r="H52" s="70">
        <f t="shared" si="23"/>
        <v>0</v>
      </c>
      <c r="I52" s="70">
        <f t="shared" si="23"/>
        <v>0</v>
      </c>
      <c r="J52" s="70">
        <f t="shared" si="21"/>
        <v>0</v>
      </c>
      <c r="K52" s="345"/>
      <c r="L52" s="70"/>
      <c r="M52" s="70"/>
      <c r="N52" s="70"/>
    </row>
    <row r="53" spans="1:16" ht="19.5" customHeight="1">
      <c r="A53" s="40"/>
      <c r="B53" s="92" t="s">
        <v>205</v>
      </c>
      <c r="C53" s="75"/>
      <c r="D53" s="70">
        <f t="shared" ref="D53:I53" si="24">SUM(D44:D50)</f>
        <v>0</v>
      </c>
      <c r="E53" s="70">
        <f t="shared" si="24"/>
        <v>0</v>
      </c>
      <c r="F53" s="70">
        <f t="shared" si="24"/>
        <v>0</v>
      </c>
      <c r="G53" s="70">
        <f t="shared" si="24"/>
        <v>0</v>
      </c>
      <c r="H53" s="70">
        <f t="shared" si="24"/>
        <v>0</v>
      </c>
      <c r="I53" s="70">
        <f t="shared" si="24"/>
        <v>0</v>
      </c>
      <c r="J53" s="70">
        <f t="shared" si="21"/>
        <v>0</v>
      </c>
      <c r="K53" s="345"/>
      <c r="L53" s="70"/>
      <c r="M53" s="70"/>
      <c r="N53" s="70"/>
    </row>
    <row r="54" spans="1:16" ht="19.5" customHeight="1">
      <c r="A54" s="8"/>
      <c r="B54" s="43" t="s">
        <v>127</v>
      </c>
      <c r="C54" s="76" t="str">
        <f t="shared" ref="C54:J54" si="25">IF(ROUND(C51,0)=ROUND(C18,0),"Ok","Error")</f>
        <v>Error</v>
      </c>
      <c r="D54" s="83" t="str">
        <f t="shared" si="25"/>
        <v>Error</v>
      </c>
      <c r="E54" s="89" t="str">
        <f t="shared" si="25"/>
        <v>Error</v>
      </c>
      <c r="F54" s="44" t="str">
        <f t="shared" si="25"/>
        <v>Error</v>
      </c>
      <c r="G54" s="44" t="str">
        <f t="shared" si="25"/>
        <v>Error</v>
      </c>
      <c r="H54" s="44" t="str">
        <f t="shared" si="25"/>
        <v>Error</v>
      </c>
      <c r="I54" s="44" t="str">
        <f t="shared" si="25"/>
        <v>Error</v>
      </c>
      <c r="J54" s="44" t="str">
        <f t="shared" si="25"/>
        <v>Error</v>
      </c>
      <c r="K54" s="351"/>
      <c r="L54" s="340"/>
      <c r="M54" s="340"/>
      <c r="N54" s="417"/>
      <c r="O54" s="1"/>
    </row>
    <row r="55" spans="1:16" ht="19.5" customHeight="1">
      <c r="B55" s="22" t="s">
        <v>206</v>
      </c>
      <c r="C55" s="69"/>
      <c r="D55" s="78"/>
      <c r="E55" s="84"/>
      <c r="F55" s="55"/>
      <c r="G55" s="55"/>
      <c r="H55" s="55"/>
      <c r="I55" s="55"/>
      <c r="J55" s="55"/>
      <c r="K55" s="344"/>
      <c r="L55" s="55"/>
      <c r="M55" s="55"/>
      <c r="N55" s="56"/>
    </row>
    <row r="56" spans="1:16" ht="19.350000000000001" customHeight="1">
      <c r="B56" s="45" t="s">
        <v>194</v>
      </c>
      <c r="C56" s="71"/>
      <c r="D56" s="80"/>
      <c r="E56" s="86"/>
      <c r="F56" s="53"/>
      <c r="G56" s="53"/>
      <c r="H56" s="53"/>
      <c r="I56" s="53"/>
      <c r="J56" s="399">
        <f t="shared" ref="J56:J64" si="26">IFERROR(SUMIF($F$5:$I$5,$D$2,F56:I56),0)</f>
        <v>0</v>
      </c>
      <c r="K56" s="345"/>
      <c r="L56" s="57"/>
      <c r="M56" s="57"/>
      <c r="N56" s="57"/>
    </row>
    <row r="57" spans="1:16" ht="19.5" customHeight="1">
      <c r="B57" s="46" t="s">
        <v>195</v>
      </c>
      <c r="C57" s="71"/>
      <c r="D57" s="80"/>
      <c r="E57" s="86"/>
      <c r="F57" s="53"/>
      <c r="G57" s="53"/>
      <c r="H57" s="53"/>
      <c r="I57" s="53"/>
      <c r="J57" s="399">
        <f t="shared" si="26"/>
        <v>0</v>
      </c>
      <c r="K57" s="345"/>
      <c r="L57" s="57"/>
      <c r="M57" s="57"/>
      <c r="N57" s="57"/>
    </row>
    <row r="58" spans="1:16" ht="19.5" customHeight="1">
      <c r="B58" s="46" t="s">
        <v>196</v>
      </c>
      <c r="C58" s="71"/>
      <c r="D58" s="80"/>
      <c r="E58" s="86"/>
      <c r="F58" s="53"/>
      <c r="G58" s="53"/>
      <c r="H58" s="53"/>
      <c r="I58" s="53"/>
      <c r="J58" s="399">
        <f t="shared" si="26"/>
        <v>0</v>
      </c>
      <c r="K58" s="345"/>
      <c r="L58" s="57"/>
      <c r="M58" s="57"/>
      <c r="N58" s="57"/>
    </row>
    <row r="59" spans="1:16" ht="19.5" customHeight="1">
      <c r="B59" s="46" t="s">
        <v>197</v>
      </c>
      <c r="C59" s="71"/>
      <c r="D59" s="80"/>
      <c r="E59" s="86"/>
      <c r="F59" s="53"/>
      <c r="G59" s="53"/>
      <c r="H59" s="53"/>
      <c r="I59" s="53"/>
      <c r="J59" s="399">
        <f t="shared" si="26"/>
        <v>0</v>
      </c>
      <c r="K59" s="345"/>
      <c r="L59" s="57"/>
      <c r="M59" s="57"/>
      <c r="N59" s="57"/>
    </row>
    <row r="60" spans="1:16" ht="19.5" customHeight="1">
      <c r="B60" s="46" t="s">
        <v>198</v>
      </c>
      <c r="C60" s="71"/>
      <c r="D60" s="80"/>
      <c r="E60" s="86"/>
      <c r="F60" s="53"/>
      <c r="G60" s="53"/>
      <c r="H60" s="53"/>
      <c r="I60" s="53"/>
      <c r="J60" s="399">
        <f t="shared" si="26"/>
        <v>0</v>
      </c>
      <c r="K60" s="345"/>
      <c r="L60" s="57"/>
      <c r="M60" s="57"/>
      <c r="N60" s="57"/>
    </row>
    <row r="61" spans="1:16" ht="19.5" customHeight="1">
      <c r="B61" s="46" t="s">
        <v>199</v>
      </c>
      <c r="C61" s="71"/>
      <c r="D61" s="80"/>
      <c r="E61" s="86"/>
      <c r="F61" s="53"/>
      <c r="G61" s="53"/>
      <c r="H61" s="53"/>
      <c r="I61" s="53"/>
      <c r="J61" s="399">
        <f t="shared" si="26"/>
        <v>0</v>
      </c>
      <c r="K61" s="345"/>
      <c r="L61" s="57"/>
      <c r="M61" s="57"/>
      <c r="N61" s="57"/>
    </row>
    <row r="62" spans="1:16" ht="19.5" customHeight="1">
      <c r="B62" s="46" t="s">
        <v>200</v>
      </c>
      <c r="C62" s="71"/>
      <c r="D62" s="80"/>
      <c r="E62" s="86"/>
      <c r="F62" s="53"/>
      <c r="G62" s="53"/>
      <c r="H62" s="53"/>
      <c r="I62" s="53"/>
      <c r="J62" s="399">
        <f t="shared" si="26"/>
        <v>0</v>
      </c>
      <c r="K62" s="345"/>
      <c r="L62" s="57"/>
      <c r="M62" s="57"/>
      <c r="N62" s="57"/>
    </row>
    <row r="63" spans="1:16" ht="19.5" customHeight="1">
      <c r="B63" s="46" t="s">
        <v>201</v>
      </c>
      <c r="C63" s="71"/>
      <c r="D63" s="80"/>
      <c r="E63" s="86"/>
      <c r="F63" s="53"/>
      <c r="G63" s="53"/>
      <c r="H63" s="53"/>
      <c r="I63" s="53"/>
      <c r="J63" s="399">
        <f t="shared" si="26"/>
        <v>0</v>
      </c>
      <c r="K63" s="345"/>
      <c r="L63" s="57"/>
      <c r="M63" s="57"/>
      <c r="N63" s="57"/>
    </row>
    <row r="64" spans="1:16" ht="19.5" customHeight="1">
      <c r="B64" s="45" t="s">
        <v>202</v>
      </c>
      <c r="C64" s="71"/>
      <c r="D64" s="80"/>
      <c r="E64" s="86"/>
      <c r="F64" s="53"/>
      <c r="G64" s="53"/>
      <c r="H64" s="53"/>
      <c r="I64" s="53"/>
      <c r="J64" s="399">
        <f t="shared" si="26"/>
        <v>0</v>
      </c>
      <c r="K64" s="345"/>
      <c r="L64" s="57"/>
      <c r="M64" s="57"/>
      <c r="N64" s="57"/>
    </row>
    <row r="65" spans="2:14" ht="19.5" customHeight="1">
      <c r="B65" s="47" t="s">
        <v>207</v>
      </c>
      <c r="C65" s="77"/>
      <c r="D65" s="79">
        <f t="shared" ref="D65:J65" si="27">SUM(D56:D64)</f>
        <v>0</v>
      </c>
      <c r="E65" s="85">
        <f t="shared" si="27"/>
        <v>0</v>
      </c>
      <c r="F65" s="62">
        <f t="shared" si="27"/>
        <v>0</v>
      </c>
      <c r="G65" s="57">
        <f t="shared" si="27"/>
        <v>0</v>
      </c>
      <c r="H65" s="57">
        <f t="shared" si="27"/>
        <v>0</v>
      </c>
      <c r="I65" s="63">
        <f t="shared" si="27"/>
        <v>0</v>
      </c>
      <c r="J65" s="57">
        <f t="shared" si="27"/>
        <v>0</v>
      </c>
      <c r="K65" s="345"/>
      <c r="L65" s="57"/>
      <c r="M65" s="57"/>
      <c r="N65" s="57"/>
    </row>
    <row r="68" spans="2:14" ht="28.5" customHeight="1">
      <c r="B68" s="703" t="s">
        <v>727</v>
      </c>
      <c r="C68" s="703"/>
      <c r="D68" s="703"/>
      <c r="E68" s="703"/>
      <c r="F68" s="703"/>
      <c r="G68" s="703"/>
    </row>
    <row r="69" spans="2:14">
      <c r="B69" s="718" t="s">
        <v>695</v>
      </c>
      <c r="C69" s="719"/>
      <c r="D69" s="715">
        <f>'Parameters '!C5</f>
        <v>2019</v>
      </c>
      <c r="E69" s="715">
        <f>'Parameters '!D5</f>
        <v>2020</v>
      </c>
      <c r="F69" s="715">
        <f>'Parameters '!E5</f>
        <v>2021</v>
      </c>
      <c r="G69" s="714">
        <f>F69+1</f>
        <v>2022</v>
      </c>
    </row>
    <row r="70" spans="2:14">
      <c r="B70" s="718"/>
      <c r="C70" s="719"/>
      <c r="D70" s="715"/>
      <c r="E70" s="715"/>
      <c r="F70" s="715"/>
      <c r="G70" s="714"/>
    </row>
    <row r="71" spans="2:14">
      <c r="B71" s="720"/>
      <c r="C71" s="721"/>
      <c r="D71" s="715"/>
      <c r="E71" s="715"/>
      <c r="F71" s="715"/>
      <c r="G71" s="714"/>
    </row>
    <row r="72" spans="2:14">
      <c r="B72" s="716" t="s">
        <v>298</v>
      </c>
      <c r="C72" s="717"/>
      <c r="D72" s="327">
        <v>10</v>
      </c>
      <c r="E72" s="327">
        <v>12</v>
      </c>
      <c r="F72" s="327">
        <v>14</v>
      </c>
      <c r="G72" s="327">
        <v>16</v>
      </c>
    </row>
    <row r="73" spans="2:14">
      <c r="B73" s="716" t="s">
        <v>299</v>
      </c>
      <c r="C73" s="717"/>
      <c r="D73" s="329">
        <v>5</v>
      </c>
      <c r="E73" s="329">
        <v>7</v>
      </c>
      <c r="F73" s="329">
        <v>9</v>
      </c>
      <c r="G73" s="329">
        <v>11</v>
      </c>
    </row>
    <row r="74" spans="2:14">
      <c r="B74" s="716" t="s">
        <v>292</v>
      </c>
      <c r="C74" s="717"/>
      <c r="D74" s="329">
        <v>2</v>
      </c>
      <c r="E74" s="329">
        <v>2</v>
      </c>
      <c r="F74" s="329">
        <v>2</v>
      </c>
      <c r="G74" s="329">
        <v>2</v>
      </c>
    </row>
    <row r="75" spans="2:14">
      <c r="B75" s="716" t="s">
        <v>300</v>
      </c>
      <c r="C75" s="717"/>
      <c r="D75" s="329">
        <v>1</v>
      </c>
      <c r="E75" s="329">
        <v>1</v>
      </c>
      <c r="F75" s="329">
        <v>1</v>
      </c>
      <c r="G75" s="329">
        <v>1</v>
      </c>
    </row>
    <row r="76" spans="2:14">
      <c r="B76" s="716" t="s">
        <v>301</v>
      </c>
      <c r="C76" s="717"/>
      <c r="D76" s="329">
        <v>0</v>
      </c>
      <c r="E76" s="329">
        <v>4</v>
      </c>
      <c r="F76" s="329">
        <v>4</v>
      </c>
      <c r="G76" s="329">
        <v>4</v>
      </c>
    </row>
    <row r="77" spans="2:14">
      <c r="B77" s="526" t="s">
        <v>128</v>
      </c>
      <c r="C77" s="512"/>
      <c r="D77" s="329">
        <v>0</v>
      </c>
      <c r="E77" s="329">
        <v>0</v>
      </c>
      <c r="F77" s="329">
        <v>0</v>
      </c>
      <c r="G77" s="329">
        <v>0</v>
      </c>
    </row>
    <row r="78" spans="2:14" ht="18.75">
      <c r="B78" s="722" t="s">
        <v>145</v>
      </c>
      <c r="C78" s="723"/>
      <c r="D78" s="325">
        <f>SUM(D72:D77)</f>
        <v>18</v>
      </c>
      <c r="E78" s="325">
        <f>SUM(E72:E77)</f>
        <v>26</v>
      </c>
      <c r="F78" s="325">
        <f>SUM(F72:F77)</f>
        <v>30</v>
      </c>
      <c r="G78" s="325">
        <f>SUM(G72:G77)</f>
        <v>34</v>
      </c>
    </row>
    <row r="79" spans="2:14" ht="18.75">
      <c r="B79" s="724" t="s">
        <v>692</v>
      </c>
      <c r="C79" s="724"/>
      <c r="D79" s="511"/>
      <c r="E79" s="511"/>
      <c r="F79" s="511"/>
      <c r="G79" s="299"/>
    </row>
    <row r="80" spans="2:14">
      <c r="B80" s="713" t="s">
        <v>307</v>
      </c>
      <c r="C80" s="713"/>
      <c r="D80" s="329">
        <v>5</v>
      </c>
      <c r="E80" s="329">
        <v>5</v>
      </c>
      <c r="F80" s="328">
        <v>7</v>
      </c>
      <c r="G80" s="329">
        <v>14</v>
      </c>
    </row>
    <row r="81" spans="2:7">
      <c r="B81" s="713" t="s">
        <v>308</v>
      </c>
      <c r="C81" s="713"/>
      <c r="D81" s="329">
        <v>13</v>
      </c>
      <c r="E81" s="329">
        <v>22</v>
      </c>
      <c r="F81" s="329">
        <v>23</v>
      </c>
      <c r="G81" s="329">
        <v>20</v>
      </c>
    </row>
    <row r="82" spans="2:7">
      <c r="B82" s="702" t="s">
        <v>145</v>
      </c>
      <c r="C82" s="702"/>
      <c r="D82" s="325">
        <f>SUM(D80:D81)</f>
        <v>18</v>
      </c>
      <c r="E82" s="325">
        <f>SUM(E80:E81)</f>
        <v>27</v>
      </c>
      <c r="F82" s="559">
        <f>SUM(F80:F81)</f>
        <v>30</v>
      </c>
      <c r="G82" s="325">
        <f>SUM(G80:G81)</f>
        <v>34</v>
      </c>
    </row>
    <row r="83" spans="2:7" ht="18.75">
      <c r="B83" s="724" t="s">
        <v>693</v>
      </c>
      <c r="C83" s="724"/>
      <c r="D83" s="511"/>
      <c r="E83" s="511"/>
      <c r="F83" s="511"/>
      <c r="G83" s="561"/>
    </row>
    <row r="84" spans="2:7">
      <c r="B84" s="713" t="s">
        <v>698</v>
      </c>
      <c r="C84" s="713"/>
      <c r="D84" s="329">
        <v>3</v>
      </c>
      <c r="E84" s="329">
        <v>7</v>
      </c>
      <c r="F84" s="328">
        <v>9</v>
      </c>
      <c r="G84" s="329">
        <v>6</v>
      </c>
    </row>
    <row r="85" spans="2:7">
      <c r="B85" s="713" t="s">
        <v>309</v>
      </c>
      <c r="C85" s="713"/>
      <c r="D85" s="329">
        <v>12</v>
      </c>
      <c r="E85" s="329">
        <v>18</v>
      </c>
      <c r="F85" s="328">
        <v>18</v>
      </c>
      <c r="G85" s="329">
        <v>22</v>
      </c>
    </row>
    <row r="86" spans="2:7">
      <c r="B86" s="713" t="s">
        <v>310</v>
      </c>
      <c r="C86" s="713"/>
      <c r="D86" s="329">
        <v>3</v>
      </c>
      <c r="E86" s="329">
        <v>2</v>
      </c>
      <c r="F86" s="328">
        <v>3</v>
      </c>
      <c r="G86" s="329">
        <v>6</v>
      </c>
    </row>
    <row r="87" spans="2:7">
      <c r="B87" s="713"/>
      <c r="C87" s="713"/>
      <c r="D87" s="325">
        <f>SUM(D84:D86)</f>
        <v>18</v>
      </c>
      <c r="E87" s="325">
        <f>SUM(E84:E86)</f>
        <v>27</v>
      </c>
      <c r="F87" s="559">
        <f>SUM(F84:F86)</f>
        <v>30</v>
      </c>
      <c r="G87" s="325">
        <f>SUM(G84:G86)</f>
        <v>34</v>
      </c>
    </row>
    <row r="88" spans="2:7" ht="18.75">
      <c r="B88" s="733" t="s">
        <v>699</v>
      </c>
      <c r="C88" s="733"/>
      <c r="D88" s="511"/>
      <c r="E88" s="511"/>
      <c r="F88" s="511"/>
      <c r="G88" s="299"/>
    </row>
    <row r="89" spans="2:7">
      <c r="B89" s="531" t="s">
        <v>531</v>
      </c>
      <c r="C89" s="531"/>
      <c r="D89" s="329">
        <v>10</v>
      </c>
      <c r="E89" s="329">
        <v>19</v>
      </c>
      <c r="F89" s="329">
        <v>22</v>
      </c>
      <c r="G89" s="329">
        <v>25</v>
      </c>
    </row>
    <row r="90" spans="2:7">
      <c r="B90" s="731" t="s">
        <v>532</v>
      </c>
      <c r="C90" s="731"/>
      <c r="D90" s="329">
        <v>4</v>
      </c>
      <c r="E90" s="329">
        <v>4</v>
      </c>
      <c r="F90" s="329">
        <v>6</v>
      </c>
      <c r="G90" s="329">
        <v>8</v>
      </c>
    </row>
    <row r="91" spans="2:7">
      <c r="B91" s="731" t="s">
        <v>533</v>
      </c>
      <c r="C91" s="731"/>
      <c r="D91" s="329">
        <v>4</v>
      </c>
      <c r="E91" s="329">
        <v>4</v>
      </c>
      <c r="F91" s="329">
        <v>2</v>
      </c>
      <c r="G91" s="329">
        <v>1</v>
      </c>
    </row>
    <row r="92" spans="2:7">
      <c r="B92" s="732" t="s">
        <v>145</v>
      </c>
      <c r="C92" s="732"/>
      <c r="D92" s="325">
        <f>SUM(D89:D91)</f>
        <v>18</v>
      </c>
      <c r="E92" s="325">
        <f>SUM(E89:E91)</f>
        <v>27</v>
      </c>
      <c r="F92" s="325">
        <f>SUM(F89:F91)</f>
        <v>30</v>
      </c>
      <c r="G92" s="325">
        <f>SUM(G89:G91)</f>
        <v>34</v>
      </c>
    </row>
    <row r="93" spans="2:7">
      <c r="B93" s="299"/>
      <c r="C93" s="299"/>
      <c r="D93" s="511"/>
      <c r="E93" s="511"/>
      <c r="F93" s="511"/>
      <c r="G93" s="299"/>
    </row>
    <row r="94" spans="2:7" ht="18.75">
      <c r="B94" s="730" t="s">
        <v>694</v>
      </c>
      <c r="C94" s="730"/>
      <c r="D94" s="32"/>
      <c r="E94" s="299"/>
      <c r="F94" s="299"/>
      <c r="G94" s="299"/>
    </row>
    <row r="95" spans="2:7">
      <c r="B95" s="713" t="s">
        <v>312</v>
      </c>
      <c r="C95" s="713"/>
      <c r="D95" s="329">
        <v>8</v>
      </c>
      <c r="E95" s="329">
        <v>10</v>
      </c>
      <c r="F95" s="329">
        <v>12</v>
      </c>
      <c r="G95" s="329">
        <v>12</v>
      </c>
    </row>
    <row r="96" spans="2:7">
      <c r="B96" s="713" t="s">
        <v>313</v>
      </c>
      <c r="C96" s="713"/>
      <c r="D96" s="329">
        <v>10</v>
      </c>
      <c r="E96" s="329">
        <v>17</v>
      </c>
      <c r="F96" s="329">
        <v>18</v>
      </c>
      <c r="G96" s="329">
        <v>22</v>
      </c>
    </row>
    <row r="97" spans="2:7">
      <c r="B97" s="702" t="s">
        <v>145</v>
      </c>
      <c r="C97" s="702"/>
      <c r="D97" s="325">
        <f>SUM(D94:D96)</f>
        <v>18</v>
      </c>
      <c r="E97" s="325">
        <f>SUM(E94:E96)</f>
        <v>27</v>
      </c>
      <c r="F97" s="325">
        <f>SUM(F94:F96)</f>
        <v>30</v>
      </c>
      <c r="G97" s="325">
        <f>SUM(G94:G96)</f>
        <v>34</v>
      </c>
    </row>
    <row r="98" spans="2:7">
      <c r="B98" s="527"/>
      <c r="C98" s="299"/>
      <c r="D98" s="32"/>
      <c r="E98" s="299"/>
      <c r="F98" s="299"/>
      <c r="G98" s="299"/>
    </row>
    <row r="99" spans="2:7">
      <c r="B99" s="713" t="s">
        <v>314</v>
      </c>
      <c r="C99" s="713"/>
      <c r="D99" s="329"/>
      <c r="E99" s="329"/>
      <c r="F99" s="328"/>
      <c r="G99" s="329"/>
    </row>
    <row r="100" spans="2:7">
      <c r="B100" s="713" t="s">
        <v>315</v>
      </c>
      <c r="C100" s="713"/>
      <c r="D100" s="329"/>
      <c r="E100" s="329"/>
      <c r="F100" s="328"/>
      <c r="G100" s="329"/>
    </row>
    <row r="101" spans="2:7">
      <c r="B101" s="713" t="s">
        <v>316</v>
      </c>
      <c r="C101" s="713"/>
      <c r="D101" s="329"/>
      <c r="E101" s="329"/>
      <c r="F101" s="328"/>
      <c r="G101" s="329"/>
    </row>
    <row r="102" spans="2:7">
      <c r="B102" s="713" t="s">
        <v>317</v>
      </c>
      <c r="C102" s="713"/>
      <c r="D102" s="329"/>
      <c r="E102" s="329"/>
      <c r="F102" s="328"/>
      <c r="G102" s="329"/>
    </row>
    <row r="103" spans="2:7">
      <c r="B103" s="527"/>
      <c r="C103" s="299"/>
      <c r="D103" s="299"/>
      <c r="E103" s="299"/>
      <c r="F103" s="299"/>
      <c r="G103" s="561"/>
    </row>
    <row r="104" spans="2:7">
      <c r="B104" s="713" t="s">
        <v>319</v>
      </c>
      <c r="C104" s="713"/>
      <c r="D104" s="329"/>
      <c r="E104" s="329"/>
      <c r="F104" s="328"/>
      <c r="G104" s="329"/>
    </row>
    <row r="105" spans="2:7">
      <c r="B105" s="713" t="s">
        <v>320</v>
      </c>
      <c r="C105" s="713"/>
      <c r="D105" s="329"/>
      <c r="E105" s="329"/>
      <c r="F105" s="328"/>
      <c r="G105" s="329"/>
    </row>
    <row r="106" spans="2:7">
      <c r="B106" s="726" t="s">
        <v>321</v>
      </c>
      <c r="C106" s="726"/>
      <c r="D106" s="329"/>
      <c r="E106" s="329"/>
      <c r="F106" s="328"/>
      <c r="G106" s="329"/>
    </row>
    <row r="107" spans="2:7">
      <c r="B107" s="713" t="s">
        <v>322</v>
      </c>
      <c r="C107" s="713"/>
      <c r="D107" s="329"/>
      <c r="E107" s="329"/>
      <c r="F107" s="328"/>
      <c r="G107" s="329"/>
    </row>
    <row r="108" spans="2:7">
      <c r="B108" s="726" t="s">
        <v>323</v>
      </c>
      <c r="C108" s="726"/>
      <c r="D108" s="329"/>
      <c r="E108" s="329"/>
      <c r="F108" s="328"/>
      <c r="G108" s="329"/>
    </row>
    <row r="109" spans="2:7">
      <c r="B109" s="527"/>
      <c r="C109" s="299"/>
      <c r="D109" s="32"/>
      <c r="E109" s="299"/>
      <c r="F109" s="299"/>
      <c r="G109" s="299"/>
    </row>
    <row r="110" spans="2:7" ht="18.75">
      <c r="B110" s="734" t="s">
        <v>679</v>
      </c>
      <c r="C110" s="734"/>
      <c r="D110" s="299"/>
      <c r="E110" s="299"/>
      <c r="F110" s="299"/>
      <c r="G110" s="299"/>
    </row>
    <row r="111" spans="2:7">
      <c r="B111" s="727" t="s">
        <v>309</v>
      </c>
      <c r="C111" s="725"/>
      <c r="D111" s="329">
        <v>45</v>
      </c>
      <c r="E111" s="329">
        <v>50</v>
      </c>
      <c r="F111" s="328">
        <v>48</v>
      </c>
      <c r="G111" s="329">
        <v>50</v>
      </c>
    </row>
    <row r="112" spans="2:7">
      <c r="B112" s="727" t="s">
        <v>310</v>
      </c>
      <c r="C112" s="725"/>
      <c r="D112" s="329">
        <v>12</v>
      </c>
      <c r="E112" s="329">
        <v>14</v>
      </c>
      <c r="F112" s="328">
        <v>14</v>
      </c>
      <c r="G112" s="329">
        <v>12</v>
      </c>
    </row>
    <row r="113" spans="2:7">
      <c r="B113" s="702" t="s">
        <v>145</v>
      </c>
      <c r="C113" s="702"/>
      <c r="D113" s="325">
        <f>SUM(D109:D112)</f>
        <v>57</v>
      </c>
      <c r="E113" s="325">
        <f>SUM(E109:E112)</f>
        <v>64</v>
      </c>
      <c r="F113" s="559">
        <f>SUM(F109:F112)</f>
        <v>62</v>
      </c>
      <c r="G113" s="325">
        <f>SUM(G109:G112)</f>
        <v>62</v>
      </c>
    </row>
    <row r="114" spans="2:7">
      <c r="B114" s="528"/>
      <c r="C114" s="488"/>
      <c r="D114" s="521"/>
      <c r="E114" s="522"/>
      <c r="F114" s="300"/>
      <c r="G114" s="561"/>
    </row>
    <row r="115" spans="2:7">
      <c r="B115" s="713" t="s">
        <v>328</v>
      </c>
      <c r="C115" s="728"/>
      <c r="D115" s="329"/>
      <c r="E115" s="329"/>
      <c r="F115" s="328"/>
      <c r="G115" s="329"/>
    </row>
    <row r="116" spans="2:7">
      <c r="B116" s="713" t="s">
        <v>329</v>
      </c>
      <c r="C116" s="728"/>
      <c r="D116" s="329"/>
      <c r="E116" s="329"/>
      <c r="F116" s="328"/>
      <c r="G116" s="329"/>
    </row>
    <row r="117" spans="2:7">
      <c r="B117" s="729" t="s">
        <v>330</v>
      </c>
      <c r="C117" s="729"/>
      <c r="D117" s="329"/>
      <c r="E117" s="329"/>
      <c r="F117" s="328"/>
      <c r="G117" s="329"/>
    </row>
    <row r="118" spans="2:7">
      <c r="B118" s="725" t="s">
        <v>497</v>
      </c>
      <c r="C118" s="725"/>
      <c r="D118" s="329"/>
      <c r="E118" s="329"/>
      <c r="F118" s="328"/>
      <c r="G118" s="329"/>
    </row>
    <row r="119" spans="2:7">
      <c r="B119" s="725" t="s">
        <v>498</v>
      </c>
      <c r="C119" s="725"/>
      <c r="D119" s="329"/>
      <c r="E119" s="329"/>
      <c r="F119" s="328"/>
      <c r="G119" s="329"/>
    </row>
    <row r="120" spans="2:7">
      <c r="B120" s="725" t="s">
        <v>499</v>
      </c>
      <c r="C120" s="725"/>
      <c r="D120" s="329"/>
      <c r="E120" s="329"/>
      <c r="F120" s="328"/>
      <c r="G120" s="329"/>
    </row>
    <row r="121" spans="2:7">
      <c r="B121" s="725" t="s">
        <v>500</v>
      </c>
      <c r="C121" s="725"/>
      <c r="D121" s="329"/>
      <c r="E121" s="329"/>
      <c r="F121" s="328"/>
      <c r="G121" s="329"/>
    </row>
    <row r="122" spans="2:7">
      <c r="B122" s="725" t="s">
        <v>501</v>
      </c>
      <c r="C122" s="725"/>
      <c r="D122" s="329"/>
      <c r="E122" s="329"/>
      <c r="F122" s="328"/>
      <c r="G122" s="329"/>
    </row>
    <row r="123" spans="2:7">
      <c r="B123" s="725" t="s">
        <v>502</v>
      </c>
      <c r="C123" s="725"/>
      <c r="D123" s="329"/>
      <c r="E123" s="329"/>
      <c r="F123" s="328"/>
      <c r="G123" s="329"/>
    </row>
    <row r="124" spans="2:7">
      <c r="B124" s="725"/>
      <c r="C124" s="725"/>
      <c r="D124" s="329"/>
      <c r="E124" s="329"/>
      <c r="F124" s="328"/>
      <c r="G124" s="329"/>
    </row>
    <row r="125" spans="2:7">
      <c r="B125" s="725"/>
      <c r="C125" s="725"/>
      <c r="D125" s="487"/>
      <c r="E125" s="326"/>
      <c r="F125" s="301"/>
      <c r="G125" s="561"/>
    </row>
    <row r="126" spans="2:7">
      <c r="B126" s="513"/>
      <c r="C126" s="530"/>
      <c r="D126" s="330"/>
      <c r="E126" s="330"/>
      <c r="F126" s="330"/>
      <c r="G126" s="561"/>
    </row>
    <row r="127" spans="2:7">
      <c r="B127" s="726" t="s">
        <v>331</v>
      </c>
      <c r="C127" s="726"/>
      <c r="D127" s="529">
        <v>0</v>
      </c>
      <c r="E127" s="529">
        <v>0</v>
      </c>
      <c r="F127" s="560">
        <v>0</v>
      </c>
      <c r="G127" s="562">
        <v>0</v>
      </c>
    </row>
  </sheetData>
  <mergeCells count="69">
    <mergeCell ref="B110:C110"/>
    <mergeCell ref="B111:C111"/>
    <mergeCell ref="B107:C107"/>
    <mergeCell ref="B108:C108"/>
    <mergeCell ref="B104:C104"/>
    <mergeCell ref="B105:C105"/>
    <mergeCell ref="B106:C106"/>
    <mergeCell ref="B102:C102"/>
    <mergeCell ref="B94:C94"/>
    <mergeCell ref="B91:C91"/>
    <mergeCell ref="B92:C92"/>
    <mergeCell ref="B85:C85"/>
    <mergeCell ref="B86:C86"/>
    <mergeCell ref="B87:C87"/>
    <mergeCell ref="B90:C90"/>
    <mergeCell ref="B95:C95"/>
    <mergeCell ref="B96:C96"/>
    <mergeCell ref="B97:C97"/>
    <mergeCell ref="B99:C99"/>
    <mergeCell ref="B100:C100"/>
    <mergeCell ref="B101:C101"/>
    <mergeCell ref="B88:C88"/>
    <mergeCell ref="B112:C112"/>
    <mergeCell ref="B113:C113"/>
    <mergeCell ref="B115:C115"/>
    <mergeCell ref="B116:C116"/>
    <mergeCell ref="B117:C117"/>
    <mergeCell ref="B125:C125"/>
    <mergeCell ref="B127:C127"/>
    <mergeCell ref="B118:C118"/>
    <mergeCell ref="B119:C119"/>
    <mergeCell ref="B120:C120"/>
    <mergeCell ref="B121:C121"/>
    <mergeCell ref="B122:C122"/>
    <mergeCell ref="B123:C123"/>
    <mergeCell ref="B124:C124"/>
    <mergeCell ref="B84:C84"/>
    <mergeCell ref="G69:G71"/>
    <mergeCell ref="D69:D71"/>
    <mergeCell ref="E69:E71"/>
    <mergeCell ref="F69:F71"/>
    <mergeCell ref="B75:C75"/>
    <mergeCell ref="B76:C76"/>
    <mergeCell ref="B69:C71"/>
    <mergeCell ref="B78:C78"/>
    <mergeCell ref="B72:C72"/>
    <mergeCell ref="B73:C73"/>
    <mergeCell ref="B74:C74"/>
    <mergeCell ref="B79:C79"/>
    <mergeCell ref="B83:C83"/>
    <mergeCell ref="B80:C80"/>
    <mergeCell ref="B81:C81"/>
    <mergeCell ref="B82:C82"/>
    <mergeCell ref="B68:G68"/>
    <mergeCell ref="L3:N3"/>
    <mergeCell ref="L4:L6"/>
    <mergeCell ref="M4:M6"/>
    <mergeCell ref="N4:N6"/>
    <mergeCell ref="B2:N2"/>
    <mergeCell ref="I4:I5"/>
    <mergeCell ref="H4:H5"/>
    <mergeCell ref="G4:G5"/>
    <mergeCell ref="F4:F5"/>
    <mergeCell ref="C4:C6"/>
    <mergeCell ref="D4:D6"/>
    <mergeCell ref="E4:E6"/>
    <mergeCell ref="B4:B6"/>
    <mergeCell ref="J4:J6"/>
    <mergeCell ref="C3:J3"/>
  </mergeCells>
  <conditionalFormatting sqref="C54:N54">
    <cfRule type="cellIs" dxfId="20" priority="18" operator="equal">
      <formula>"OK"</formula>
    </cfRule>
  </conditionalFormatting>
  <conditionalFormatting sqref="B79">
    <cfRule type="cellIs" dxfId="19" priority="13" operator="equal">
      <formula>"_"</formula>
    </cfRule>
    <cfRule type="cellIs" dxfId="18" priority="14" operator="equal">
      <formula>""""""</formula>
    </cfRule>
    <cfRule type="cellIs" dxfId="17" priority="15" operator="equal">
      <formula>"C10≠C16 !!"</formula>
    </cfRule>
    <cfRule type="cellIs" dxfId="16" priority="16" operator="equal">
      <formula>"C10≠C16"</formula>
    </cfRule>
  </conditionalFormatting>
  <conditionalFormatting sqref="B83">
    <cfRule type="cellIs" dxfId="15" priority="9" operator="equal">
      <formula>"_"</formula>
    </cfRule>
    <cfRule type="cellIs" dxfId="14" priority="10" operator="equal">
      <formula>""""""</formula>
    </cfRule>
    <cfRule type="cellIs" dxfId="13" priority="11" operator="equal">
      <formula>"C10≠C16 !!"</formula>
    </cfRule>
    <cfRule type="cellIs" dxfId="12" priority="12" operator="equal">
      <formula>"C10≠C16"</formula>
    </cfRule>
  </conditionalFormatting>
  <conditionalFormatting sqref="B88">
    <cfRule type="cellIs" dxfId="11" priority="5" operator="equal">
      <formula>"_"</formula>
    </cfRule>
    <cfRule type="cellIs" dxfId="10" priority="6" operator="equal">
      <formula>""""""</formula>
    </cfRule>
    <cfRule type="cellIs" dxfId="9" priority="7" operator="equal">
      <formula>"C10≠C16 !!"</formula>
    </cfRule>
    <cfRule type="cellIs" dxfId="8" priority="8" operator="equal">
      <formula>"C10≠C16"</formula>
    </cfRule>
  </conditionalFormatting>
  <conditionalFormatting sqref="B94">
    <cfRule type="cellIs" dxfId="7" priority="1" operator="equal">
      <formula>"_"</formula>
    </cfRule>
    <cfRule type="cellIs" dxfId="6" priority="2" operator="equal">
      <formula>""""""</formula>
    </cfRule>
    <cfRule type="cellIs" dxfId="5" priority="3" operator="equal">
      <formula>"C10≠C16 !!"</formula>
    </cfRule>
    <cfRule type="cellIs" dxfId="4" priority="4" operator="equal">
      <formula>"C10≠C16"</formula>
    </cfRule>
  </conditionalFormatting>
  <pageMargins left="0.7" right="0.7" top="0.75" bottom="0.75" header="0.3" footer="0.3"/>
  <pageSetup scale="43" orientation="portrait" r:id="rId1"/>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IM67"/>
  <sheetViews>
    <sheetView topLeftCell="N6" zoomScaleNormal="100" workbookViewId="0">
      <selection activeCell="B2" sqref="B2:O19"/>
    </sheetView>
  </sheetViews>
  <sheetFormatPr defaultColWidth="8.85546875" defaultRowHeight="15.75"/>
  <cols>
    <col min="1" max="1" width="5.28515625" style="104" customWidth="1"/>
    <col min="2" max="2" width="46" style="21" customWidth="1"/>
    <col min="3" max="4" width="19.28515625" style="21" customWidth="1"/>
    <col min="5" max="5" width="13.85546875" style="14" customWidth="1"/>
    <col min="6" max="6" width="13.85546875" style="14" hidden="1" customWidth="1"/>
    <col min="7" max="10" width="13.85546875" style="14" customWidth="1"/>
    <col min="11" max="11" width="13.85546875" style="9" customWidth="1"/>
    <col min="12" max="12" width="3.85546875" style="9" customWidth="1"/>
    <col min="13" max="14" width="16.140625" style="9" customWidth="1"/>
    <col min="15" max="15" width="15" style="9" customWidth="1"/>
    <col min="16" max="16384" width="8.85546875" style="1"/>
  </cols>
  <sheetData>
    <row r="1" spans="1:247" s="8" customFormat="1" ht="64.5" customHeight="1">
      <c r="A1" s="104"/>
      <c r="B1" s="10"/>
      <c r="C1" s="10"/>
      <c r="D1" s="10"/>
    </row>
    <row r="2" spans="1:247" s="18" customFormat="1" ht="43.5" customHeight="1" thickBot="1">
      <c r="A2" s="108"/>
      <c r="B2" s="735" t="s">
        <v>214</v>
      </c>
      <c r="C2" s="735"/>
      <c r="D2" s="735"/>
      <c r="E2" s="735"/>
      <c r="F2" s="735"/>
      <c r="G2" s="735"/>
      <c r="H2" s="735"/>
      <c r="I2" s="735"/>
      <c r="J2" s="735"/>
      <c r="K2" s="735"/>
      <c r="L2" s="735"/>
      <c r="M2" s="735"/>
      <c r="N2" s="735"/>
      <c r="O2" s="735"/>
    </row>
    <row r="3" spans="1:247" s="18" customFormat="1" ht="37.5" customHeight="1" thickBot="1">
      <c r="A3" s="110"/>
      <c r="B3" s="50" t="s">
        <v>135</v>
      </c>
      <c r="C3" s="50"/>
      <c r="D3" s="50"/>
      <c r="E3" s="9"/>
      <c r="F3" s="9"/>
      <c r="G3" s="9"/>
      <c r="H3" s="9"/>
      <c r="I3" s="9"/>
      <c r="J3" s="9"/>
      <c r="K3" s="9"/>
      <c r="L3" s="9"/>
      <c r="M3" s="9"/>
      <c r="N3" s="9"/>
      <c r="O3" s="9"/>
    </row>
    <row r="4" spans="1:247" ht="34.5" customHeight="1" thickBot="1">
      <c r="B4" s="111"/>
      <c r="C4" s="682" t="s">
        <v>539</v>
      </c>
      <c r="D4" s="683"/>
      <c r="E4" s="683"/>
      <c r="F4" s="683"/>
      <c r="G4" s="683"/>
      <c r="H4" s="683"/>
      <c r="I4" s="683"/>
      <c r="J4" s="683"/>
      <c r="K4" s="686"/>
      <c r="L4" s="407"/>
      <c r="M4" s="682" t="s">
        <v>381</v>
      </c>
      <c r="N4" s="683"/>
      <c r="O4" s="686"/>
      <c r="P4" s="18"/>
      <c r="Q4" s="18"/>
      <c r="R4" s="18"/>
      <c r="S4" s="18"/>
      <c r="T4" s="18"/>
      <c r="U4" s="18"/>
      <c r="V4" s="18"/>
      <c r="W4" s="18"/>
      <c r="X4" s="18"/>
      <c r="Y4" s="18"/>
      <c r="Z4" s="18"/>
    </row>
    <row r="5" spans="1:247" ht="20.100000000000001" customHeight="1">
      <c r="B5" s="745" t="s">
        <v>215</v>
      </c>
      <c r="C5" s="742">
        <v>2019</v>
      </c>
      <c r="D5" s="739">
        <f>'Portfolio details  '!D4</f>
        <v>2020</v>
      </c>
      <c r="E5" s="736">
        <f>'Portfolio details  '!E4</f>
        <v>2021</v>
      </c>
      <c r="F5" s="211"/>
      <c r="G5" s="747" t="str">
        <f>'Portfolio details  '!F4</f>
        <v>Q1/2022</v>
      </c>
      <c r="H5" s="747" t="str">
        <f>'Portfolio details  '!G4</f>
        <v>Q2/2022</v>
      </c>
      <c r="I5" s="747" t="str">
        <f>'Portfolio details  '!H4</f>
        <v>Q3/2022</v>
      </c>
      <c r="J5" s="747" t="str">
        <f>'Portfolio details  '!I4</f>
        <v>Q4/2022</v>
      </c>
      <c r="K5" s="671">
        <f>E5+1</f>
        <v>2022</v>
      </c>
      <c r="L5" s="357"/>
      <c r="M5" s="749">
        <v>2023</v>
      </c>
      <c r="N5" s="708">
        <f>M5+1</f>
        <v>2024</v>
      </c>
      <c r="O5" s="710">
        <f>N5+1</f>
        <v>2025</v>
      </c>
      <c r="P5" s="18"/>
      <c r="Q5" s="18"/>
      <c r="R5" s="18"/>
      <c r="S5" s="18"/>
      <c r="T5" s="18"/>
      <c r="U5" s="18"/>
      <c r="V5" s="18"/>
      <c r="W5" s="18"/>
      <c r="X5" s="18"/>
      <c r="Y5" s="18"/>
      <c r="Z5" s="18"/>
    </row>
    <row r="6" spans="1:247" ht="20.100000000000001" customHeight="1" thickBot="1">
      <c r="B6" s="746"/>
      <c r="C6" s="743"/>
      <c r="D6" s="740"/>
      <c r="E6" s="737"/>
      <c r="F6" s="212"/>
      <c r="G6" s="748"/>
      <c r="H6" s="748"/>
      <c r="I6" s="748"/>
      <c r="J6" s="748"/>
      <c r="K6" s="672"/>
      <c r="L6" s="358"/>
      <c r="M6" s="749"/>
      <c r="N6" s="708"/>
      <c r="O6" s="711"/>
      <c r="P6" s="18"/>
      <c r="Q6" s="18"/>
      <c r="R6" s="18"/>
      <c r="S6" s="18"/>
      <c r="T6" s="18"/>
      <c r="U6" s="18"/>
      <c r="V6" s="18"/>
      <c r="W6" s="18"/>
      <c r="X6" s="18"/>
      <c r="Y6" s="18"/>
      <c r="Z6" s="18"/>
    </row>
    <row r="7" spans="1:247" s="32" customFormat="1" ht="20.100000000000001" customHeight="1" thickBot="1">
      <c r="A7" s="110"/>
      <c r="B7" s="746"/>
      <c r="C7" s="744"/>
      <c r="D7" s="741"/>
      <c r="E7" s="738"/>
      <c r="F7" s="113"/>
      <c r="G7" s="406"/>
      <c r="H7" s="406"/>
      <c r="I7" s="406"/>
      <c r="J7" s="406"/>
      <c r="K7" s="673"/>
      <c r="L7" s="359"/>
      <c r="M7" s="749"/>
      <c r="N7" s="708"/>
      <c r="O7" s="711"/>
      <c r="P7" s="16"/>
      <c r="Q7" s="16"/>
      <c r="R7" s="16"/>
      <c r="S7" s="16"/>
      <c r="T7" s="16"/>
      <c r="U7" s="16"/>
      <c r="V7" s="16"/>
      <c r="W7" s="16"/>
      <c r="X7" s="16"/>
      <c r="Y7" s="16"/>
      <c r="Z7" s="16"/>
    </row>
    <row r="8" spans="1:247" s="119" customFormat="1" ht="19.5" customHeight="1">
      <c r="A8" s="115"/>
      <c r="B8" s="24" t="s">
        <v>216</v>
      </c>
      <c r="C8" s="116">
        <v>100000</v>
      </c>
      <c r="D8" s="117">
        <f>C8*1.1</f>
        <v>110000.00000000001</v>
      </c>
      <c r="E8" s="117">
        <f t="shared" ref="E8:J12" si="0">D8*1.1</f>
        <v>121000.00000000003</v>
      </c>
      <c r="F8" s="117">
        <f t="shared" si="0"/>
        <v>133100.00000000003</v>
      </c>
      <c r="G8" s="117">
        <f t="shared" si="0"/>
        <v>146410.00000000006</v>
      </c>
      <c r="H8" s="117">
        <f t="shared" si="0"/>
        <v>161051.00000000009</v>
      </c>
      <c r="I8" s="117">
        <f t="shared" si="0"/>
        <v>177156.10000000012</v>
      </c>
      <c r="J8" s="117">
        <f t="shared" si="0"/>
        <v>194871.71000000014</v>
      </c>
      <c r="K8" s="403">
        <f>SUM(G8:J8)</f>
        <v>679488.81000000029</v>
      </c>
      <c r="L8" s="360"/>
      <c r="M8" s="353"/>
      <c r="N8" s="353"/>
      <c r="O8" s="409"/>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ht="19.5" customHeight="1">
      <c r="A9" s="115" t="s">
        <v>124</v>
      </c>
      <c r="B9" s="120" t="s">
        <v>217</v>
      </c>
      <c r="C9" s="116">
        <v>1000</v>
      </c>
      <c r="D9" s="117">
        <f>C9*1.1</f>
        <v>1100</v>
      </c>
      <c r="E9" s="117">
        <f t="shared" si="0"/>
        <v>1210</v>
      </c>
      <c r="F9" s="117">
        <f t="shared" si="0"/>
        <v>1331</v>
      </c>
      <c r="G9" s="117">
        <f t="shared" si="0"/>
        <v>1464.1000000000001</v>
      </c>
      <c r="H9" s="117">
        <f t="shared" si="0"/>
        <v>1610.5100000000002</v>
      </c>
      <c r="I9" s="117">
        <f t="shared" si="0"/>
        <v>1771.5610000000004</v>
      </c>
      <c r="J9" s="117">
        <f t="shared" si="0"/>
        <v>1948.7171000000005</v>
      </c>
      <c r="K9" s="403">
        <f t="shared" ref="K9:K12" si="1">SUM(G9:J9)</f>
        <v>6794.8881000000019</v>
      </c>
      <c r="L9" s="361"/>
      <c r="M9" s="128"/>
      <c r="N9" s="128"/>
      <c r="O9" s="146"/>
    </row>
    <row r="10" spans="1:247" ht="19.5" customHeight="1">
      <c r="B10" s="24" t="s">
        <v>218</v>
      </c>
      <c r="C10" s="116">
        <v>1000</v>
      </c>
      <c r="D10" s="117">
        <f>C10*1.1</f>
        <v>1100</v>
      </c>
      <c r="E10" s="117">
        <f t="shared" si="0"/>
        <v>1210</v>
      </c>
      <c r="F10" s="117">
        <f t="shared" si="0"/>
        <v>1331</v>
      </c>
      <c r="G10" s="117">
        <f t="shared" si="0"/>
        <v>1464.1000000000001</v>
      </c>
      <c r="H10" s="117">
        <f t="shared" si="0"/>
        <v>1610.5100000000002</v>
      </c>
      <c r="I10" s="117">
        <f t="shared" si="0"/>
        <v>1771.5610000000004</v>
      </c>
      <c r="J10" s="117">
        <f t="shared" si="0"/>
        <v>1948.7171000000005</v>
      </c>
      <c r="K10" s="403">
        <f t="shared" si="1"/>
        <v>6794.8881000000019</v>
      </c>
      <c r="L10" s="361"/>
      <c r="M10" s="128"/>
      <c r="N10" s="128"/>
      <c r="O10" s="146"/>
    </row>
    <row r="11" spans="1:247" ht="19.5" customHeight="1">
      <c r="B11" s="24" t="s">
        <v>219</v>
      </c>
      <c r="C11" s="116">
        <v>500</v>
      </c>
      <c r="D11" s="117">
        <f>C11*1.1</f>
        <v>550</v>
      </c>
      <c r="E11" s="118">
        <f t="shared" si="0"/>
        <v>605</v>
      </c>
      <c r="F11" s="20">
        <f t="shared" si="0"/>
        <v>665.5</v>
      </c>
      <c r="G11" s="20">
        <f t="shared" si="0"/>
        <v>732.05000000000007</v>
      </c>
      <c r="H11" s="20">
        <f t="shared" si="0"/>
        <v>805.25500000000011</v>
      </c>
      <c r="I11" s="121">
        <f t="shared" si="0"/>
        <v>885.78050000000019</v>
      </c>
      <c r="J11" s="20">
        <f t="shared" si="0"/>
        <v>974.35855000000026</v>
      </c>
      <c r="K11" s="403">
        <f t="shared" si="1"/>
        <v>3397.444050000001</v>
      </c>
      <c r="L11" s="361"/>
      <c r="M11" s="128"/>
      <c r="N11" s="128"/>
      <c r="O11" s="146"/>
    </row>
    <row r="12" spans="1:247" ht="19.5" customHeight="1">
      <c r="B12" s="122" t="s">
        <v>220</v>
      </c>
      <c r="C12" s="123">
        <v>500</v>
      </c>
      <c r="D12" s="124">
        <f>C12*1.1</f>
        <v>550</v>
      </c>
      <c r="E12" s="125">
        <f t="shared" si="0"/>
        <v>605</v>
      </c>
      <c r="F12" s="126">
        <f t="shared" si="0"/>
        <v>665.5</v>
      </c>
      <c r="G12" s="126">
        <f t="shared" si="0"/>
        <v>732.05000000000007</v>
      </c>
      <c r="H12" s="126">
        <f t="shared" si="0"/>
        <v>805.25500000000011</v>
      </c>
      <c r="I12" s="127">
        <f t="shared" si="0"/>
        <v>885.78050000000019</v>
      </c>
      <c r="J12" s="126">
        <f t="shared" si="0"/>
        <v>974.35855000000026</v>
      </c>
      <c r="K12" s="403">
        <f t="shared" si="1"/>
        <v>3397.444050000001</v>
      </c>
      <c r="L12" s="361"/>
      <c r="M12" s="128"/>
      <c r="N12" s="128"/>
      <c r="O12" s="146"/>
    </row>
    <row r="13" spans="1:247">
      <c r="B13" s="215" t="s">
        <v>221</v>
      </c>
      <c r="C13" s="216">
        <f t="shared" ref="C13:K13" si="2">SUM(C8:C12)</f>
        <v>103000</v>
      </c>
      <c r="D13" s="216">
        <f t="shared" si="2"/>
        <v>113300.00000000001</v>
      </c>
      <c r="E13" s="216">
        <f t="shared" si="2"/>
        <v>124630.00000000003</v>
      </c>
      <c r="F13" s="216">
        <f t="shared" si="2"/>
        <v>137093.00000000003</v>
      </c>
      <c r="G13" s="216">
        <f t="shared" si="2"/>
        <v>150802.30000000005</v>
      </c>
      <c r="H13" s="216">
        <f t="shared" si="2"/>
        <v>165882.53000000012</v>
      </c>
      <c r="I13" s="216">
        <f t="shared" si="2"/>
        <v>182470.78300000008</v>
      </c>
      <c r="J13" s="216">
        <f t="shared" si="2"/>
        <v>200717.86130000016</v>
      </c>
      <c r="K13" s="216">
        <f t="shared" si="2"/>
        <v>699873.47430000035</v>
      </c>
      <c r="L13" s="362"/>
      <c r="M13" s="216">
        <f>SUM(M8:M12)</f>
        <v>0</v>
      </c>
      <c r="N13" s="216">
        <f>SUM(N8:N12)</f>
        <v>0</v>
      </c>
      <c r="O13" s="216">
        <f>SUM(O8:O12)</f>
        <v>0</v>
      </c>
    </row>
    <row r="14" spans="1:247">
      <c r="B14" s="217" t="s">
        <v>389</v>
      </c>
      <c r="C14" s="218">
        <f>C13-C9</f>
        <v>102000</v>
      </c>
      <c r="D14" s="218">
        <f>D13-D9</f>
        <v>112200.00000000001</v>
      </c>
      <c r="E14" s="218">
        <f>E13-E9</f>
        <v>123420.00000000003</v>
      </c>
      <c r="F14" s="218">
        <f>F13-F9</f>
        <v>135762.00000000003</v>
      </c>
      <c r="G14" s="218">
        <f>(G13-G9)*4</f>
        <v>597352.80000000016</v>
      </c>
      <c r="H14" s="218">
        <f>(G13+H13-G9-H9)*4/2</f>
        <v>627220.44000000041</v>
      </c>
      <c r="I14" s="218">
        <f>(G13+H13+I13-G9-H9-I9)*4/3</f>
        <v>659079.2560000004</v>
      </c>
      <c r="J14" s="218">
        <f>(G13+H13+I13+J13-G9-H9-I9-J9)</f>
        <v>693078.58620000037</v>
      </c>
      <c r="K14" s="218">
        <f>K13-K9</f>
        <v>693078.58620000037</v>
      </c>
      <c r="L14" s="363"/>
      <c r="M14" s="218">
        <f>M13-M9</f>
        <v>0</v>
      </c>
      <c r="N14" s="218">
        <f>N13-N9</f>
        <v>0</v>
      </c>
      <c r="O14" s="218">
        <f>O13-O9</f>
        <v>0</v>
      </c>
    </row>
    <row r="15" spans="1:247" ht="19.5" customHeight="1">
      <c r="B15" s="129"/>
      <c r="C15" s="129"/>
      <c r="D15" s="129"/>
      <c r="E15" s="130"/>
      <c r="F15" s="107"/>
      <c r="G15" s="130"/>
      <c r="H15" s="130"/>
      <c r="I15" s="130"/>
      <c r="J15" s="130"/>
      <c r="K15" s="131"/>
      <c r="L15" s="364"/>
      <c r="M15" s="131"/>
      <c r="N15" s="131"/>
      <c r="O15" s="410"/>
    </row>
    <row r="16" spans="1:247" ht="19.5" customHeight="1">
      <c r="B16" s="24" t="s">
        <v>409</v>
      </c>
      <c r="C16" s="116">
        <v>100</v>
      </c>
      <c r="D16" s="117">
        <f>C16*1.1</f>
        <v>110.00000000000001</v>
      </c>
      <c r="E16" s="118">
        <f t="shared" ref="E16:J16" si="3">D16*1.1</f>
        <v>121.00000000000003</v>
      </c>
      <c r="F16" s="20">
        <f t="shared" si="3"/>
        <v>133.10000000000005</v>
      </c>
      <c r="G16" s="20">
        <f t="shared" si="3"/>
        <v>146.41000000000008</v>
      </c>
      <c r="H16" s="20">
        <f t="shared" si="3"/>
        <v>161.0510000000001</v>
      </c>
      <c r="I16" s="121">
        <f t="shared" si="3"/>
        <v>177.15610000000012</v>
      </c>
      <c r="J16" s="20">
        <f t="shared" si="3"/>
        <v>194.87171000000015</v>
      </c>
      <c r="K16" s="403">
        <f t="shared" ref="K16:K18" si="4">SUM(G16:J16)</f>
        <v>679.4888100000004</v>
      </c>
      <c r="L16" s="361"/>
      <c r="M16" s="128"/>
      <c r="N16" s="128"/>
      <c r="O16" s="146"/>
    </row>
    <row r="17" spans="1:15" ht="19.5" customHeight="1">
      <c r="B17" s="122" t="s">
        <v>222</v>
      </c>
      <c r="C17" s="116">
        <v>0</v>
      </c>
      <c r="D17" s="117">
        <v>0</v>
      </c>
      <c r="E17" s="125">
        <v>0</v>
      </c>
      <c r="F17" s="126"/>
      <c r="G17" s="126">
        <v>0</v>
      </c>
      <c r="H17" s="126">
        <v>0</v>
      </c>
      <c r="I17" s="126">
        <v>0</v>
      </c>
      <c r="J17" s="126">
        <v>0</v>
      </c>
      <c r="K17" s="403">
        <f t="shared" si="4"/>
        <v>0</v>
      </c>
      <c r="L17" s="361"/>
      <c r="M17" s="128"/>
      <c r="N17" s="128"/>
      <c r="O17" s="146"/>
    </row>
    <row r="18" spans="1:15" ht="19.5" customHeight="1">
      <c r="B18" s="122" t="s">
        <v>223</v>
      </c>
      <c r="C18" s="116">
        <v>0</v>
      </c>
      <c r="D18" s="117">
        <v>0</v>
      </c>
      <c r="E18" s="125">
        <v>0</v>
      </c>
      <c r="F18" s="126"/>
      <c r="G18" s="126">
        <v>0</v>
      </c>
      <c r="H18" s="126">
        <v>0</v>
      </c>
      <c r="I18" s="126">
        <v>0</v>
      </c>
      <c r="J18" s="126">
        <v>0</v>
      </c>
      <c r="K18" s="403">
        <f t="shared" si="4"/>
        <v>0</v>
      </c>
      <c r="L18" s="361"/>
      <c r="M18" s="128"/>
      <c r="N18" s="128"/>
      <c r="O18" s="146"/>
    </row>
    <row r="19" spans="1:15" s="18" customFormat="1" ht="19.5" customHeight="1">
      <c r="A19" s="132"/>
      <c r="B19" s="213" t="s">
        <v>224</v>
      </c>
      <c r="C19" s="214">
        <f t="shared" ref="C19:K19" si="5">SUM(C16:C18)</f>
        <v>100</v>
      </c>
      <c r="D19" s="214">
        <f t="shared" si="5"/>
        <v>110.00000000000001</v>
      </c>
      <c r="E19" s="214">
        <f t="shared" si="5"/>
        <v>121.00000000000003</v>
      </c>
      <c r="F19" s="214">
        <f t="shared" si="5"/>
        <v>133.10000000000005</v>
      </c>
      <c r="G19" s="214">
        <f t="shared" si="5"/>
        <v>146.41000000000008</v>
      </c>
      <c r="H19" s="214">
        <f t="shared" si="5"/>
        <v>161.0510000000001</v>
      </c>
      <c r="I19" s="214">
        <f t="shared" si="5"/>
        <v>177.15610000000012</v>
      </c>
      <c r="J19" s="214">
        <f t="shared" si="5"/>
        <v>194.87171000000015</v>
      </c>
      <c r="K19" s="214">
        <f t="shared" si="5"/>
        <v>679.4888100000004</v>
      </c>
      <c r="L19" s="365"/>
      <c r="M19" s="214">
        <f>SUM(M16:M18)</f>
        <v>0</v>
      </c>
      <c r="N19" s="214">
        <f>SUM(N16:N18)</f>
        <v>0</v>
      </c>
      <c r="O19" s="214">
        <f>SUM(O16:O18)</f>
        <v>0</v>
      </c>
    </row>
    <row r="20" spans="1:15" ht="19.5" customHeight="1">
      <c r="B20" s="129"/>
      <c r="C20" s="129"/>
      <c r="D20" s="129"/>
      <c r="E20" s="133"/>
      <c r="F20" s="133"/>
      <c r="G20" s="133"/>
      <c r="H20" s="133"/>
      <c r="I20" s="133"/>
      <c r="J20" s="133"/>
      <c r="K20" s="131"/>
      <c r="L20" s="364"/>
      <c r="M20" s="131"/>
      <c r="N20" s="131"/>
      <c r="O20" s="410"/>
    </row>
    <row r="21" spans="1:15" s="18" customFormat="1" ht="19.5" customHeight="1">
      <c r="A21" s="132"/>
      <c r="B21" s="24" t="s">
        <v>225</v>
      </c>
      <c r="C21" s="134">
        <f t="shared" ref="C21:K22" si="6">C13-C19</f>
        <v>102900</v>
      </c>
      <c r="D21" s="135">
        <f t="shared" si="6"/>
        <v>113190.00000000001</v>
      </c>
      <c r="E21" s="136">
        <f t="shared" si="6"/>
        <v>124509.00000000003</v>
      </c>
      <c r="F21" s="137">
        <f t="shared" si="6"/>
        <v>136959.90000000002</v>
      </c>
      <c r="G21" s="137">
        <f t="shared" si="6"/>
        <v>150655.89000000004</v>
      </c>
      <c r="H21" s="137">
        <f t="shared" si="6"/>
        <v>165721.47900000011</v>
      </c>
      <c r="I21" s="137">
        <f t="shared" si="6"/>
        <v>182293.62690000009</v>
      </c>
      <c r="J21" s="137">
        <f t="shared" si="6"/>
        <v>200522.98959000016</v>
      </c>
      <c r="K21" s="403">
        <f t="shared" ref="K21:K23" si="7">SUM(G21:J21)</f>
        <v>699193.98549000046</v>
      </c>
      <c r="L21" s="366"/>
      <c r="M21" s="137">
        <f>M13-M19</f>
        <v>0</v>
      </c>
      <c r="N21" s="137">
        <f>N13-N19</f>
        <v>0</v>
      </c>
      <c r="O21" s="137">
        <f>O13-O19</f>
        <v>0</v>
      </c>
    </row>
    <row r="22" spans="1:15">
      <c r="B22" s="138" t="s">
        <v>226</v>
      </c>
      <c r="C22" s="116">
        <v>1000</v>
      </c>
      <c r="D22" s="117">
        <f>C22*1.1</f>
        <v>1100</v>
      </c>
      <c r="E22" s="139">
        <f t="shared" ref="E22:J22" si="8">D22*1.1</f>
        <v>1210</v>
      </c>
      <c r="F22" s="140">
        <f t="shared" si="8"/>
        <v>1331</v>
      </c>
      <c r="G22" s="140">
        <f t="shared" si="8"/>
        <v>1464.1000000000001</v>
      </c>
      <c r="H22" s="140">
        <f t="shared" si="8"/>
        <v>1610.5100000000002</v>
      </c>
      <c r="I22" s="140">
        <f t="shared" si="8"/>
        <v>1771.5610000000004</v>
      </c>
      <c r="J22" s="140">
        <f t="shared" si="8"/>
        <v>1948.7171000000005</v>
      </c>
      <c r="K22" s="403">
        <f t="shared" si="7"/>
        <v>6794.8881000000019</v>
      </c>
      <c r="L22" s="367"/>
      <c r="M22" s="140"/>
      <c r="N22" s="140"/>
      <c r="O22" s="140"/>
    </row>
    <row r="23" spans="1:15" s="8" customFormat="1" ht="19.5" customHeight="1">
      <c r="A23" s="141"/>
      <c r="B23" s="142" t="s">
        <v>227</v>
      </c>
      <c r="C23" s="143"/>
      <c r="D23" s="144"/>
      <c r="E23" s="145"/>
      <c r="F23" s="146"/>
      <c r="G23" s="146"/>
      <c r="H23" s="146"/>
      <c r="I23" s="146"/>
      <c r="J23" s="146"/>
      <c r="K23" s="403">
        <f t="shared" si="7"/>
        <v>0</v>
      </c>
      <c r="L23" s="366"/>
      <c r="M23" s="146"/>
      <c r="N23" s="146"/>
      <c r="O23" s="146"/>
    </row>
    <row r="24" spans="1:15" s="18" customFormat="1" ht="19.5" customHeight="1">
      <c r="A24" s="132"/>
      <c r="B24" s="24" t="s">
        <v>126</v>
      </c>
      <c r="C24" s="134">
        <f t="shared" ref="C24:K24" si="9">SUM(C21:C23)</f>
        <v>103900</v>
      </c>
      <c r="D24" s="135">
        <f t="shared" si="9"/>
        <v>114290.00000000001</v>
      </c>
      <c r="E24" s="136">
        <f t="shared" si="9"/>
        <v>125719.00000000003</v>
      </c>
      <c r="F24" s="137">
        <f t="shared" si="9"/>
        <v>138290.90000000002</v>
      </c>
      <c r="G24" s="137">
        <f t="shared" si="9"/>
        <v>152119.99000000005</v>
      </c>
      <c r="H24" s="137">
        <f t="shared" si="9"/>
        <v>167331.98900000012</v>
      </c>
      <c r="I24" s="137">
        <f t="shared" si="9"/>
        <v>184065.18790000008</v>
      </c>
      <c r="J24" s="137">
        <f t="shared" si="9"/>
        <v>202471.70669000017</v>
      </c>
      <c r="K24" s="404">
        <f t="shared" si="9"/>
        <v>705988.87359000044</v>
      </c>
      <c r="L24" s="366"/>
      <c r="M24" s="137">
        <f>SUM(M21:M23)</f>
        <v>0</v>
      </c>
      <c r="N24" s="137">
        <f>SUM(N21:N23)</f>
        <v>0</v>
      </c>
      <c r="O24" s="137">
        <f>SUM(O21:O23)</f>
        <v>0</v>
      </c>
    </row>
    <row r="25" spans="1:15" ht="19.5" customHeight="1">
      <c r="B25" s="147"/>
      <c r="C25" s="147"/>
      <c r="D25" s="147"/>
      <c r="E25" s="148"/>
      <c r="F25" s="148"/>
      <c r="G25" s="148"/>
      <c r="H25" s="148"/>
      <c r="I25" s="148"/>
      <c r="J25" s="148"/>
      <c r="K25" s="149"/>
      <c r="L25" s="368"/>
      <c r="M25" s="355"/>
      <c r="N25" s="355"/>
      <c r="O25" s="411"/>
    </row>
    <row r="26" spans="1:15" s="32" customFormat="1" ht="19.5" customHeight="1">
      <c r="A26" s="150"/>
      <c r="B26" s="28" t="s">
        <v>228</v>
      </c>
      <c r="C26" s="151">
        <v>0</v>
      </c>
      <c r="D26" s="152">
        <v>0</v>
      </c>
      <c r="E26" s="118">
        <v>0</v>
      </c>
      <c r="F26" s="20"/>
      <c r="G26" s="20">
        <v>0</v>
      </c>
      <c r="H26" s="20">
        <v>0</v>
      </c>
      <c r="I26" s="20">
        <v>0</v>
      </c>
      <c r="J26" s="30">
        <v>0</v>
      </c>
      <c r="K26" s="404">
        <f>SUM(G26:J26)</f>
        <v>0</v>
      </c>
      <c r="L26" s="365"/>
      <c r="M26" s="356"/>
      <c r="N26" s="356"/>
      <c r="O26" s="356"/>
    </row>
    <row r="27" spans="1:15" ht="19.5" customHeight="1">
      <c r="A27" s="13"/>
      <c r="B27" s="24" t="s">
        <v>229</v>
      </c>
      <c r="C27" s="116">
        <v>0</v>
      </c>
      <c r="D27" s="117">
        <v>0</v>
      </c>
      <c r="E27" s="118">
        <v>0</v>
      </c>
      <c r="F27" s="20"/>
      <c r="G27" s="20">
        <v>0</v>
      </c>
      <c r="H27" s="20">
        <v>0</v>
      </c>
      <c r="I27" s="20">
        <v>0</v>
      </c>
      <c r="J27" s="30">
        <v>0</v>
      </c>
      <c r="K27" s="404">
        <f>SUM(G27:J27)</f>
        <v>0</v>
      </c>
      <c r="L27" s="365"/>
      <c r="M27" s="356"/>
      <c r="N27" s="356"/>
      <c r="O27" s="356"/>
    </row>
    <row r="28" spans="1:15" ht="19.5" customHeight="1">
      <c r="B28" s="153"/>
      <c r="C28" s="153"/>
      <c r="D28" s="153"/>
      <c r="E28" s="154"/>
      <c r="F28" s="154"/>
      <c r="G28" s="154"/>
      <c r="H28" s="154"/>
      <c r="I28" s="154"/>
      <c r="J28" s="148"/>
      <c r="K28" s="149"/>
      <c r="L28" s="368"/>
      <c r="M28" s="355"/>
      <c r="N28" s="355"/>
      <c r="O28" s="411"/>
    </row>
    <row r="29" spans="1:15" s="32" customFormat="1" ht="19.5" customHeight="1">
      <c r="A29" s="150"/>
      <c r="B29" s="369" t="s">
        <v>230</v>
      </c>
      <c r="C29" s="370"/>
      <c r="D29" s="370"/>
      <c r="E29" s="370"/>
      <c r="F29" s="370"/>
      <c r="G29" s="370"/>
      <c r="H29" s="370"/>
      <c r="I29" s="370"/>
      <c r="J29" s="370"/>
      <c r="K29" s="370"/>
      <c r="L29" s="371"/>
      <c r="M29" s="370"/>
      <c r="N29" s="370"/>
      <c r="O29" s="412"/>
    </row>
    <row r="30" spans="1:15" ht="19.5" customHeight="1">
      <c r="B30" s="24" t="s">
        <v>231</v>
      </c>
      <c r="C30" s="116">
        <v>15000</v>
      </c>
      <c r="D30" s="117">
        <f t="shared" ref="D30:J30" si="10">C30*1.1</f>
        <v>16500</v>
      </c>
      <c r="E30" s="118">
        <f t="shared" si="10"/>
        <v>18150</v>
      </c>
      <c r="F30" s="20">
        <f t="shared" si="10"/>
        <v>19965</v>
      </c>
      <c r="G30" s="20">
        <f t="shared" si="10"/>
        <v>21961.5</v>
      </c>
      <c r="H30" s="20">
        <f t="shared" si="10"/>
        <v>24157.65</v>
      </c>
      <c r="I30" s="121">
        <f t="shared" si="10"/>
        <v>26573.415000000005</v>
      </c>
      <c r="J30" s="20">
        <f t="shared" si="10"/>
        <v>29230.756500000007</v>
      </c>
      <c r="K30" s="404">
        <f>SUM(G30:J30)</f>
        <v>101923.32150000001</v>
      </c>
      <c r="L30" s="361"/>
      <c r="M30" s="128"/>
      <c r="N30" s="128"/>
      <c r="O30" s="146"/>
    </row>
    <row r="31" spans="1:15" ht="30">
      <c r="B31" s="155" t="s">
        <v>672</v>
      </c>
      <c r="C31" s="116">
        <v>2000</v>
      </c>
      <c r="D31" s="117">
        <f t="shared" ref="D31:J31" si="11">C31*1.1</f>
        <v>2200</v>
      </c>
      <c r="E31" s="156">
        <f t="shared" si="11"/>
        <v>2420</v>
      </c>
      <c r="F31" s="157">
        <f t="shared" si="11"/>
        <v>2662</v>
      </c>
      <c r="G31" s="157">
        <f t="shared" si="11"/>
        <v>2928.2000000000003</v>
      </c>
      <c r="H31" s="157">
        <f t="shared" si="11"/>
        <v>3221.0200000000004</v>
      </c>
      <c r="I31" s="158">
        <f t="shared" si="11"/>
        <v>3543.1220000000008</v>
      </c>
      <c r="J31" s="157">
        <f t="shared" si="11"/>
        <v>3897.4342000000011</v>
      </c>
      <c r="K31" s="404">
        <f>SUM(G31:J31)</f>
        <v>13589.776200000004</v>
      </c>
      <c r="L31" s="367"/>
      <c r="M31" s="354"/>
      <c r="N31" s="354"/>
      <c r="O31" s="408"/>
    </row>
    <row r="32" spans="1:15" ht="19.5" customHeight="1">
      <c r="B32" s="24" t="s">
        <v>232</v>
      </c>
      <c r="C32" s="116">
        <v>500</v>
      </c>
      <c r="D32" s="117">
        <f t="shared" ref="D32:J32" si="12">C32*1.1</f>
        <v>550</v>
      </c>
      <c r="E32" s="118">
        <f t="shared" si="12"/>
        <v>605</v>
      </c>
      <c r="F32" s="20">
        <f t="shared" si="12"/>
        <v>665.5</v>
      </c>
      <c r="G32" s="20">
        <f t="shared" si="12"/>
        <v>732.05000000000007</v>
      </c>
      <c r="H32" s="20">
        <f t="shared" si="12"/>
        <v>805.25500000000011</v>
      </c>
      <c r="I32" s="121">
        <f t="shared" si="12"/>
        <v>885.78050000000019</v>
      </c>
      <c r="J32" s="20">
        <f t="shared" si="12"/>
        <v>974.35855000000026</v>
      </c>
      <c r="K32" s="405">
        <f>SUM(G32:J32)</f>
        <v>3397.444050000001</v>
      </c>
      <c r="L32" s="361"/>
      <c r="M32" s="128"/>
      <c r="N32" s="128"/>
      <c r="O32" s="146"/>
    </row>
    <row r="33" spans="1:15" ht="19.5" customHeight="1">
      <c r="B33" s="24" t="s">
        <v>233</v>
      </c>
      <c r="C33" s="116">
        <v>100</v>
      </c>
      <c r="D33" s="117">
        <f t="shared" ref="D33:J33" si="13">C33*1.1</f>
        <v>110.00000000000001</v>
      </c>
      <c r="E33" s="125">
        <f t="shared" si="13"/>
        <v>121.00000000000003</v>
      </c>
      <c r="F33" s="126">
        <f t="shared" si="13"/>
        <v>133.10000000000005</v>
      </c>
      <c r="G33" s="126">
        <f t="shared" si="13"/>
        <v>146.41000000000008</v>
      </c>
      <c r="H33" s="126">
        <f t="shared" si="13"/>
        <v>161.0510000000001</v>
      </c>
      <c r="I33" s="126">
        <f t="shared" si="13"/>
        <v>177.15610000000012</v>
      </c>
      <c r="J33" s="126">
        <f t="shared" si="13"/>
        <v>194.87171000000015</v>
      </c>
      <c r="K33" s="404">
        <f>SUM(G33:J33)</f>
        <v>679.4888100000004</v>
      </c>
      <c r="L33" s="361"/>
      <c r="M33" s="128"/>
      <c r="N33" s="128"/>
      <c r="O33" s="146"/>
    </row>
    <row r="34" spans="1:15" ht="19.5" customHeight="1">
      <c r="B34" s="24" t="s">
        <v>673</v>
      </c>
      <c r="C34" s="116">
        <v>2500</v>
      </c>
      <c r="D34" s="117">
        <f t="shared" ref="D34:J34" si="14">C34*1.1</f>
        <v>2750</v>
      </c>
      <c r="E34" s="125">
        <f t="shared" si="14"/>
        <v>3025.0000000000005</v>
      </c>
      <c r="F34" s="126">
        <f t="shared" si="14"/>
        <v>3327.5000000000009</v>
      </c>
      <c r="G34" s="126">
        <f t="shared" si="14"/>
        <v>3660.2500000000014</v>
      </c>
      <c r="H34" s="126">
        <f t="shared" si="14"/>
        <v>4026.2750000000019</v>
      </c>
      <c r="I34" s="126">
        <f t="shared" si="14"/>
        <v>4428.9025000000029</v>
      </c>
      <c r="J34" s="126">
        <f t="shared" si="14"/>
        <v>4871.7927500000033</v>
      </c>
      <c r="K34" s="404">
        <f t="shared" ref="K34:K39" si="15">SUM(G34:J34)</f>
        <v>16987.220250000009</v>
      </c>
      <c r="L34" s="361"/>
      <c r="M34" s="128"/>
      <c r="N34" s="128"/>
      <c r="O34" s="146"/>
    </row>
    <row r="35" spans="1:15" ht="19.5" customHeight="1">
      <c r="B35" s="24" t="s">
        <v>405</v>
      </c>
      <c r="C35" s="116">
        <v>800</v>
      </c>
      <c r="D35" s="117">
        <f t="shared" ref="D35:J35" si="16">C35*1.1</f>
        <v>880.00000000000011</v>
      </c>
      <c r="E35" s="125">
        <f t="shared" si="16"/>
        <v>968.00000000000023</v>
      </c>
      <c r="F35" s="126">
        <f t="shared" si="16"/>
        <v>1064.8000000000004</v>
      </c>
      <c r="G35" s="126">
        <f t="shared" si="16"/>
        <v>1171.2800000000007</v>
      </c>
      <c r="H35" s="126">
        <f t="shared" si="16"/>
        <v>1288.4080000000008</v>
      </c>
      <c r="I35" s="126">
        <f t="shared" si="16"/>
        <v>1417.248800000001</v>
      </c>
      <c r="J35" s="126">
        <f t="shared" si="16"/>
        <v>1558.9736800000012</v>
      </c>
      <c r="K35" s="404">
        <f t="shared" si="15"/>
        <v>5435.9104800000032</v>
      </c>
      <c r="L35" s="361"/>
      <c r="M35" s="128"/>
      <c r="N35" s="128"/>
      <c r="O35" s="146"/>
    </row>
    <row r="36" spans="1:15" ht="19.5" customHeight="1">
      <c r="B36" s="24" t="s">
        <v>406</v>
      </c>
      <c r="C36" s="116">
        <v>500</v>
      </c>
      <c r="D36" s="117">
        <f t="shared" ref="D36:J36" si="17">C36*1.1</f>
        <v>550</v>
      </c>
      <c r="E36" s="125">
        <f t="shared" si="17"/>
        <v>605</v>
      </c>
      <c r="F36" s="126">
        <f t="shared" si="17"/>
        <v>665.5</v>
      </c>
      <c r="G36" s="126">
        <f t="shared" si="17"/>
        <v>732.05000000000007</v>
      </c>
      <c r="H36" s="126">
        <f t="shared" si="17"/>
        <v>805.25500000000011</v>
      </c>
      <c r="I36" s="126">
        <f t="shared" si="17"/>
        <v>885.78050000000019</v>
      </c>
      <c r="J36" s="126">
        <f t="shared" si="17"/>
        <v>974.35855000000026</v>
      </c>
      <c r="K36" s="404">
        <f t="shared" si="15"/>
        <v>3397.444050000001</v>
      </c>
      <c r="L36" s="361"/>
      <c r="M36" s="128"/>
      <c r="N36" s="128"/>
      <c r="O36" s="146"/>
    </row>
    <row r="37" spans="1:15" ht="19.5" customHeight="1">
      <c r="B37" s="24" t="s">
        <v>407</v>
      </c>
      <c r="C37" s="116">
        <v>500</v>
      </c>
      <c r="D37" s="117">
        <f t="shared" ref="D37:J37" si="18">C37*1.1</f>
        <v>550</v>
      </c>
      <c r="E37" s="125">
        <f t="shared" si="18"/>
        <v>605</v>
      </c>
      <c r="F37" s="126">
        <f t="shared" si="18"/>
        <v>665.5</v>
      </c>
      <c r="G37" s="126">
        <f t="shared" si="18"/>
        <v>732.05000000000007</v>
      </c>
      <c r="H37" s="126">
        <f t="shared" si="18"/>
        <v>805.25500000000011</v>
      </c>
      <c r="I37" s="126">
        <f t="shared" si="18"/>
        <v>885.78050000000019</v>
      </c>
      <c r="J37" s="126">
        <f t="shared" si="18"/>
        <v>974.35855000000026</v>
      </c>
      <c r="K37" s="404">
        <f t="shared" si="15"/>
        <v>3397.444050000001</v>
      </c>
      <c r="L37" s="361"/>
      <c r="M37" s="128"/>
      <c r="N37" s="128"/>
      <c r="O37" s="137"/>
    </row>
    <row r="38" spans="1:15" ht="19.5" customHeight="1">
      <c r="B38" s="24" t="s">
        <v>408</v>
      </c>
      <c r="C38" s="116">
        <v>100</v>
      </c>
      <c r="D38" s="117">
        <f t="shared" ref="D38:J38" si="19">C38*1.1</f>
        <v>110.00000000000001</v>
      </c>
      <c r="E38" s="125">
        <f t="shared" si="19"/>
        <v>121.00000000000003</v>
      </c>
      <c r="F38" s="126">
        <f t="shared" si="19"/>
        <v>133.10000000000005</v>
      </c>
      <c r="G38" s="126">
        <f t="shared" si="19"/>
        <v>146.41000000000008</v>
      </c>
      <c r="H38" s="126">
        <f t="shared" si="19"/>
        <v>161.0510000000001</v>
      </c>
      <c r="I38" s="126">
        <f t="shared" si="19"/>
        <v>177.15610000000012</v>
      </c>
      <c r="J38" s="126">
        <f t="shared" si="19"/>
        <v>194.87171000000015</v>
      </c>
      <c r="K38" s="404">
        <f t="shared" si="15"/>
        <v>679.4888100000004</v>
      </c>
      <c r="L38" s="361"/>
      <c r="M38" s="128"/>
      <c r="N38" s="128"/>
      <c r="O38" s="137"/>
    </row>
    <row r="39" spans="1:15" ht="19.5" customHeight="1">
      <c r="B39" s="24" t="s">
        <v>234</v>
      </c>
      <c r="C39" s="116">
        <v>200</v>
      </c>
      <c r="D39" s="117">
        <f t="shared" ref="D39:J39" si="20">C39*1.1</f>
        <v>220.00000000000003</v>
      </c>
      <c r="E39" s="125">
        <f t="shared" si="20"/>
        <v>242.00000000000006</v>
      </c>
      <c r="F39" s="126">
        <f t="shared" si="20"/>
        <v>266.2000000000001</v>
      </c>
      <c r="G39" s="126">
        <f t="shared" si="20"/>
        <v>292.82000000000016</v>
      </c>
      <c r="H39" s="126">
        <f t="shared" si="20"/>
        <v>322.1020000000002</v>
      </c>
      <c r="I39" s="126">
        <f t="shared" si="20"/>
        <v>354.31220000000025</v>
      </c>
      <c r="J39" s="126">
        <f t="shared" si="20"/>
        <v>389.7434200000003</v>
      </c>
      <c r="K39" s="404">
        <f t="shared" si="15"/>
        <v>1358.9776200000008</v>
      </c>
      <c r="L39" s="361"/>
      <c r="M39" s="128"/>
      <c r="N39" s="128"/>
      <c r="O39" s="137"/>
    </row>
    <row r="40" spans="1:15" s="18" customFormat="1" ht="19.350000000000001" customHeight="1">
      <c r="A40" s="132"/>
      <c r="B40" s="213" t="s">
        <v>235</v>
      </c>
      <c r="C40" s="219">
        <f t="shared" ref="C40:K40" si="21">SUM(C30:C39)</f>
        <v>22200</v>
      </c>
      <c r="D40" s="219">
        <f t="shared" si="21"/>
        <v>24420</v>
      </c>
      <c r="E40" s="219">
        <f t="shared" si="21"/>
        <v>26862</v>
      </c>
      <c r="F40" s="219">
        <f t="shared" si="21"/>
        <v>29548.199999999997</v>
      </c>
      <c r="G40" s="219">
        <f t="shared" si="21"/>
        <v>32503.02</v>
      </c>
      <c r="H40" s="219">
        <f t="shared" si="21"/>
        <v>35753.322</v>
      </c>
      <c r="I40" s="219">
        <f t="shared" si="21"/>
        <v>39328.654200000012</v>
      </c>
      <c r="J40" s="219">
        <f t="shared" si="21"/>
        <v>43261.519619999999</v>
      </c>
      <c r="K40" s="219">
        <f t="shared" si="21"/>
        <v>150846.51582</v>
      </c>
      <c r="L40" s="366"/>
      <c r="M40" s="219">
        <f>SUM(M30:M39)</f>
        <v>0</v>
      </c>
      <c r="N40" s="219">
        <f>SUM(N30:N39)</f>
        <v>0</v>
      </c>
      <c r="O40" s="219">
        <f>SUM(O30:O39)</f>
        <v>0</v>
      </c>
    </row>
    <row r="41" spans="1:15" s="18" customFormat="1" ht="30">
      <c r="A41" s="132"/>
      <c r="B41" s="213" t="s">
        <v>388</v>
      </c>
      <c r="C41" s="219">
        <f t="shared" ref="C41:K41" si="22">C24+C27-C40</f>
        <v>81700</v>
      </c>
      <c r="D41" s="219">
        <f t="shared" si="22"/>
        <v>89870.000000000015</v>
      </c>
      <c r="E41" s="219">
        <f t="shared" si="22"/>
        <v>98857.000000000029</v>
      </c>
      <c r="F41" s="219">
        <f t="shared" si="22"/>
        <v>108742.70000000003</v>
      </c>
      <c r="G41" s="219">
        <f t="shared" si="22"/>
        <v>119616.97000000004</v>
      </c>
      <c r="H41" s="219">
        <f t="shared" si="22"/>
        <v>131578.66700000013</v>
      </c>
      <c r="I41" s="219">
        <f t="shared" si="22"/>
        <v>144736.53370000006</v>
      </c>
      <c r="J41" s="219">
        <f t="shared" si="22"/>
        <v>159210.18707000016</v>
      </c>
      <c r="K41" s="219">
        <f t="shared" si="22"/>
        <v>555142.35777000047</v>
      </c>
      <c r="L41" s="366"/>
      <c r="M41" s="219">
        <f>M24+M27-M40</f>
        <v>0</v>
      </c>
      <c r="N41" s="219">
        <f>N24+N27-N40</f>
        <v>0</v>
      </c>
      <c r="O41" s="219">
        <f>O24+O27-O40</f>
        <v>0</v>
      </c>
    </row>
    <row r="42" spans="1:15" ht="19.5" customHeight="1">
      <c r="B42" s="153"/>
      <c r="C42" s="153"/>
      <c r="D42" s="153"/>
      <c r="E42" s="148"/>
      <c r="F42" s="148"/>
      <c r="G42" s="148"/>
      <c r="H42" s="148"/>
      <c r="I42" s="148"/>
      <c r="J42" s="148"/>
      <c r="K42" s="149"/>
      <c r="L42" s="368"/>
      <c r="M42" s="355"/>
      <c r="N42" s="355"/>
      <c r="O42" s="411"/>
    </row>
    <row r="43" spans="1:15" ht="19.5" customHeight="1">
      <c r="B43" s="369" t="s">
        <v>236</v>
      </c>
      <c r="C43" s="370"/>
      <c r="D43" s="370"/>
      <c r="E43" s="370"/>
      <c r="F43" s="370"/>
      <c r="G43" s="370"/>
      <c r="H43" s="370"/>
      <c r="I43" s="370"/>
      <c r="J43" s="370"/>
      <c r="K43" s="370"/>
      <c r="L43" s="371"/>
      <c r="M43" s="370"/>
      <c r="N43" s="370"/>
      <c r="O43" s="412"/>
    </row>
    <row r="44" spans="1:15" ht="19.5" customHeight="1">
      <c r="B44" s="24" t="s">
        <v>237</v>
      </c>
      <c r="C44" s="116">
        <v>0</v>
      </c>
      <c r="D44" s="117">
        <v>0</v>
      </c>
      <c r="E44" s="118">
        <v>0</v>
      </c>
      <c r="F44" s="20"/>
      <c r="G44" s="20">
        <v>0</v>
      </c>
      <c r="H44" s="20">
        <v>0</v>
      </c>
      <c r="I44" s="20">
        <v>0</v>
      </c>
      <c r="J44" s="20">
        <v>0</v>
      </c>
      <c r="K44" s="404">
        <f>SUM(G44:J44)</f>
        <v>0</v>
      </c>
      <c r="L44" s="372"/>
      <c r="M44" s="25"/>
      <c r="N44" s="25"/>
      <c r="O44" s="25"/>
    </row>
    <row r="45" spans="1:15" ht="19.5" customHeight="1">
      <c r="B45" s="24" t="s">
        <v>238</v>
      </c>
      <c r="C45" s="116">
        <v>0</v>
      </c>
      <c r="D45" s="117">
        <v>0</v>
      </c>
      <c r="E45" s="118">
        <v>0</v>
      </c>
      <c r="F45" s="20"/>
      <c r="G45" s="20">
        <v>0</v>
      </c>
      <c r="H45" s="20">
        <v>0</v>
      </c>
      <c r="I45" s="20">
        <v>0</v>
      </c>
      <c r="J45" s="20">
        <v>0</v>
      </c>
      <c r="K45" s="404">
        <f>SUM(G45:J45)</f>
        <v>0</v>
      </c>
      <c r="L45" s="372"/>
      <c r="M45" s="25"/>
      <c r="N45" s="25"/>
      <c r="O45" s="25"/>
    </row>
    <row r="46" spans="1:15" ht="19.5" customHeight="1">
      <c r="B46" s="24" t="s">
        <v>239</v>
      </c>
      <c r="C46" s="116">
        <v>0</v>
      </c>
      <c r="D46" s="117">
        <v>0</v>
      </c>
      <c r="E46" s="118">
        <v>0</v>
      </c>
      <c r="F46" s="20"/>
      <c r="G46" s="20">
        <v>0</v>
      </c>
      <c r="H46" s="20">
        <v>0</v>
      </c>
      <c r="I46" s="20">
        <v>0</v>
      </c>
      <c r="J46" s="20">
        <v>0</v>
      </c>
      <c r="K46" s="405">
        <f>SUM(G46:J46)</f>
        <v>0</v>
      </c>
      <c r="L46" s="372"/>
      <c r="M46" s="25"/>
      <c r="N46" s="25"/>
      <c r="O46" s="25"/>
    </row>
    <row r="47" spans="1:15" ht="19.5" customHeight="1">
      <c r="B47" s="120" t="s">
        <v>240</v>
      </c>
      <c r="C47" s="116">
        <v>0</v>
      </c>
      <c r="D47" s="117">
        <v>0</v>
      </c>
      <c r="E47" s="118">
        <v>0</v>
      </c>
      <c r="F47" s="20"/>
      <c r="G47" s="20">
        <v>0</v>
      </c>
      <c r="H47" s="20">
        <v>0</v>
      </c>
      <c r="I47" s="20">
        <v>0</v>
      </c>
      <c r="J47" s="20">
        <v>0</v>
      </c>
      <c r="K47" s="404">
        <f>SUM(G47:J47)</f>
        <v>0</v>
      </c>
      <c r="L47" s="372"/>
      <c r="M47" s="25"/>
      <c r="N47" s="25"/>
      <c r="O47" s="25"/>
    </row>
    <row r="48" spans="1:15" ht="19.5" customHeight="1">
      <c r="B48" s="160" t="s">
        <v>236</v>
      </c>
      <c r="C48" s="134">
        <f t="shared" ref="C48:K48" si="23">SUM(C44:C47)</f>
        <v>0</v>
      </c>
      <c r="D48" s="135">
        <f t="shared" si="23"/>
        <v>0</v>
      </c>
      <c r="E48" s="136">
        <f t="shared" si="23"/>
        <v>0</v>
      </c>
      <c r="F48" s="137">
        <f t="shared" si="23"/>
        <v>0</v>
      </c>
      <c r="G48" s="137">
        <f t="shared" si="23"/>
        <v>0</v>
      </c>
      <c r="H48" s="137">
        <f t="shared" si="23"/>
        <v>0</v>
      </c>
      <c r="I48" s="137">
        <f t="shared" si="23"/>
        <v>0</v>
      </c>
      <c r="J48" s="137">
        <f t="shared" si="23"/>
        <v>0</v>
      </c>
      <c r="K48" s="404">
        <f t="shared" si="23"/>
        <v>0</v>
      </c>
      <c r="L48" s="372"/>
      <c r="M48" s="137">
        <f>SUM(M44:M47)</f>
        <v>0</v>
      </c>
      <c r="N48" s="137">
        <f>SUM(N44:N47)</f>
        <v>0</v>
      </c>
      <c r="O48" s="137">
        <f>SUM(O44:O47)</f>
        <v>0</v>
      </c>
    </row>
    <row r="49" spans="1:15" ht="19.5" customHeight="1">
      <c r="E49" s="161"/>
      <c r="F49" s="161"/>
      <c r="G49" s="161"/>
      <c r="H49" s="161"/>
      <c r="I49" s="161"/>
      <c r="J49" s="161"/>
      <c r="K49" s="162"/>
      <c r="L49" s="373"/>
      <c r="M49" s="162"/>
      <c r="N49" s="162"/>
      <c r="O49" s="413"/>
    </row>
    <row r="50" spans="1:15" ht="19.5" customHeight="1">
      <c r="B50" s="369" t="s">
        <v>241</v>
      </c>
      <c r="C50" s="370"/>
      <c r="D50" s="370"/>
      <c r="E50" s="370"/>
      <c r="F50" s="370"/>
      <c r="G50" s="370"/>
      <c r="H50" s="370"/>
      <c r="I50" s="370"/>
      <c r="J50" s="370"/>
      <c r="K50" s="370"/>
      <c r="L50" s="371"/>
      <c r="M50" s="370"/>
      <c r="N50" s="370"/>
      <c r="O50" s="412"/>
    </row>
    <row r="51" spans="1:15" ht="19.5" customHeight="1">
      <c r="B51" s="120" t="s">
        <v>242</v>
      </c>
      <c r="C51" s="116">
        <v>0</v>
      </c>
      <c r="D51" s="117">
        <v>0</v>
      </c>
      <c r="E51" s="163">
        <v>0</v>
      </c>
      <c r="F51" s="30"/>
      <c r="G51" s="30">
        <v>0</v>
      </c>
      <c r="H51" s="30">
        <v>0</v>
      </c>
      <c r="I51" s="30">
        <v>0</v>
      </c>
      <c r="J51" s="30">
        <v>0</v>
      </c>
      <c r="K51" s="404">
        <f>SUM(G51:J51)</f>
        <v>0</v>
      </c>
      <c r="L51" s="374"/>
      <c r="M51" s="159"/>
      <c r="N51" s="159"/>
      <c r="O51" s="356"/>
    </row>
    <row r="52" spans="1:15" ht="19.5" customHeight="1">
      <c r="B52" s="120" t="s">
        <v>243</v>
      </c>
      <c r="C52" s="116">
        <v>0</v>
      </c>
      <c r="D52" s="117">
        <v>0</v>
      </c>
      <c r="E52" s="163">
        <v>0</v>
      </c>
      <c r="F52" s="30"/>
      <c r="G52" s="30">
        <v>0</v>
      </c>
      <c r="H52" s="30">
        <v>0</v>
      </c>
      <c r="I52" s="30">
        <v>0</v>
      </c>
      <c r="J52" s="30">
        <v>0</v>
      </c>
      <c r="K52" s="404">
        <f>SUM(G52:J52)</f>
        <v>0</v>
      </c>
      <c r="L52" s="374"/>
      <c r="M52" s="159"/>
      <c r="N52" s="159"/>
      <c r="O52" s="356"/>
    </row>
    <row r="53" spans="1:15" ht="19.5" customHeight="1">
      <c r="B53" s="122" t="s">
        <v>244</v>
      </c>
      <c r="C53" s="116">
        <v>0</v>
      </c>
      <c r="D53" s="117">
        <v>0</v>
      </c>
      <c r="E53" s="163">
        <v>0</v>
      </c>
      <c r="F53" s="30"/>
      <c r="G53" s="30">
        <v>0</v>
      </c>
      <c r="H53" s="30">
        <v>0</v>
      </c>
      <c r="I53" s="30">
        <v>0</v>
      </c>
      <c r="J53" s="30">
        <v>0</v>
      </c>
      <c r="K53" s="405">
        <f>SUM(G53:J53)</f>
        <v>0</v>
      </c>
      <c r="L53" s="374"/>
      <c r="M53" s="159"/>
      <c r="N53" s="159"/>
      <c r="O53" s="356"/>
    </row>
    <row r="54" spans="1:15" ht="19.5" customHeight="1">
      <c r="B54" s="24" t="s">
        <v>241</v>
      </c>
      <c r="C54" s="116">
        <v>0</v>
      </c>
      <c r="D54" s="117">
        <v>0</v>
      </c>
      <c r="E54" s="163">
        <v>0</v>
      </c>
      <c r="F54" s="30"/>
      <c r="G54" s="30">
        <v>0</v>
      </c>
      <c r="H54" s="30">
        <v>0</v>
      </c>
      <c r="I54" s="30">
        <v>0</v>
      </c>
      <c r="J54" s="30">
        <v>0</v>
      </c>
      <c r="K54" s="404">
        <f t="shared" ref="C54:K54" si="24">SUM(K51:K53)</f>
        <v>0</v>
      </c>
      <c r="L54" s="365"/>
      <c r="M54" s="25">
        <f>SUM(M51:M53)</f>
        <v>0</v>
      </c>
      <c r="N54" s="25">
        <f>SUM(N51:N53)</f>
        <v>0</v>
      </c>
      <c r="O54" s="25">
        <f>SUM(O51:O53)</f>
        <v>0</v>
      </c>
    </row>
    <row r="55" spans="1:15" ht="19.5" customHeight="1">
      <c r="B55" s="213" t="s">
        <v>245</v>
      </c>
      <c r="C55" s="213">
        <f t="shared" ref="C55:K55" si="25">C48-C54</f>
        <v>0</v>
      </c>
      <c r="D55" s="213">
        <f t="shared" si="25"/>
        <v>0</v>
      </c>
      <c r="E55" s="213">
        <f t="shared" si="25"/>
        <v>0</v>
      </c>
      <c r="F55" s="213">
        <f t="shared" si="25"/>
        <v>0</v>
      </c>
      <c r="G55" s="213">
        <f t="shared" si="25"/>
        <v>0</v>
      </c>
      <c r="H55" s="213">
        <f t="shared" si="25"/>
        <v>0</v>
      </c>
      <c r="I55" s="213">
        <f t="shared" si="25"/>
        <v>0</v>
      </c>
      <c r="J55" s="213">
        <f t="shared" si="25"/>
        <v>0</v>
      </c>
      <c r="K55" s="213">
        <f t="shared" si="25"/>
        <v>0</v>
      </c>
      <c r="L55" s="365"/>
      <c r="M55" s="213">
        <f>M48-M54</f>
        <v>0</v>
      </c>
      <c r="N55" s="213">
        <f>N48-N54</f>
        <v>0</v>
      </c>
      <c r="O55" s="213">
        <f>O48-O54</f>
        <v>0</v>
      </c>
    </row>
    <row r="56" spans="1:15" ht="19.5" customHeight="1">
      <c r="B56" s="164"/>
      <c r="C56" s="164"/>
      <c r="D56" s="164"/>
      <c r="E56" s="105"/>
      <c r="F56" s="106"/>
      <c r="G56" s="107"/>
      <c r="H56" s="107"/>
      <c r="I56" s="107"/>
      <c r="J56" s="107"/>
      <c r="K56" s="405"/>
      <c r="L56" s="375"/>
      <c r="M56" s="107"/>
      <c r="N56" s="107"/>
      <c r="O56" s="105"/>
    </row>
    <row r="57" spans="1:15" s="32" customFormat="1" ht="19.5" customHeight="1">
      <c r="A57" s="150"/>
      <c r="B57" s="213" t="s">
        <v>246</v>
      </c>
      <c r="C57" s="213">
        <f t="shared" ref="C57:K57" si="26">C41+C55</f>
        <v>81700</v>
      </c>
      <c r="D57" s="213">
        <f t="shared" si="26"/>
        <v>89870.000000000015</v>
      </c>
      <c r="E57" s="213">
        <f t="shared" si="26"/>
        <v>98857.000000000029</v>
      </c>
      <c r="F57" s="213">
        <f t="shared" si="26"/>
        <v>108742.70000000003</v>
      </c>
      <c r="G57" s="213">
        <f t="shared" si="26"/>
        <v>119616.97000000004</v>
      </c>
      <c r="H57" s="213">
        <f t="shared" si="26"/>
        <v>131578.66700000013</v>
      </c>
      <c r="I57" s="213">
        <f t="shared" si="26"/>
        <v>144736.53370000006</v>
      </c>
      <c r="J57" s="213">
        <f t="shared" si="26"/>
        <v>159210.18707000016</v>
      </c>
      <c r="K57" s="213">
        <f t="shared" si="26"/>
        <v>555142.35777000047</v>
      </c>
      <c r="L57" s="366"/>
      <c r="M57" s="213">
        <f>M41+M55</f>
        <v>0</v>
      </c>
      <c r="N57" s="213">
        <f>N41+N55</f>
        <v>0</v>
      </c>
      <c r="O57" s="213">
        <f>O41+O55</f>
        <v>0</v>
      </c>
    </row>
    <row r="58" spans="1:15" ht="19.350000000000001" customHeight="1">
      <c r="B58" s="24" t="s">
        <v>247</v>
      </c>
      <c r="C58" s="116"/>
      <c r="D58" s="117"/>
      <c r="E58" s="165"/>
      <c r="F58" s="166"/>
      <c r="G58" s="166"/>
      <c r="H58" s="166"/>
      <c r="I58" s="166"/>
      <c r="J58" s="166"/>
      <c r="K58" s="404">
        <f>SUM(G58:J58)</f>
        <v>0</v>
      </c>
      <c r="L58" s="376"/>
      <c r="M58" s="166"/>
      <c r="N58" s="166"/>
      <c r="O58" s="166"/>
    </row>
    <row r="59" spans="1:15" ht="19.5" customHeight="1">
      <c r="B59" s="213" t="s">
        <v>129</v>
      </c>
      <c r="C59" s="213">
        <f t="shared" ref="C59:K59" si="27">C57-C58</f>
        <v>81700</v>
      </c>
      <c r="D59" s="213">
        <f t="shared" si="27"/>
        <v>89870.000000000015</v>
      </c>
      <c r="E59" s="213">
        <f t="shared" si="27"/>
        <v>98857.000000000029</v>
      </c>
      <c r="F59" s="213">
        <f t="shared" si="27"/>
        <v>108742.70000000003</v>
      </c>
      <c r="G59" s="213">
        <f t="shared" si="27"/>
        <v>119616.97000000004</v>
      </c>
      <c r="H59" s="213">
        <f t="shared" si="27"/>
        <v>131578.66700000013</v>
      </c>
      <c r="I59" s="213">
        <f t="shared" si="27"/>
        <v>144736.53370000006</v>
      </c>
      <c r="J59" s="213">
        <f t="shared" si="27"/>
        <v>159210.18707000016</v>
      </c>
      <c r="K59" s="213">
        <f t="shared" si="27"/>
        <v>555142.35777000047</v>
      </c>
      <c r="L59" s="366"/>
      <c r="M59" s="213">
        <f>M57-M58</f>
        <v>0</v>
      </c>
      <c r="N59" s="213">
        <f>N57-N58</f>
        <v>0</v>
      </c>
      <c r="O59" s="213">
        <f>O57-O58</f>
        <v>0</v>
      </c>
    </row>
    <row r="60" spans="1:15" ht="19.5" customHeight="1">
      <c r="B60" s="213" t="s">
        <v>248</v>
      </c>
      <c r="C60" s="213">
        <f>C59</f>
        <v>81700</v>
      </c>
      <c r="D60" s="213">
        <f>D59</f>
        <v>89870.000000000015</v>
      </c>
      <c r="E60" s="213">
        <f>E59</f>
        <v>98857.000000000029</v>
      </c>
      <c r="F60" s="213">
        <f>F59</f>
        <v>108742.70000000003</v>
      </c>
      <c r="G60" s="213">
        <f>G59</f>
        <v>119616.97000000004</v>
      </c>
      <c r="H60" s="213">
        <f>H59+G60</f>
        <v>251195.63700000016</v>
      </c>
      <c r="I60" s="213">
        <f>I59+H60</f>
        <v>395932.17070000025</v>
      </c>
      <c r="J60" s="213">
        <f>J59+I60</f>
        <v>555142.35777000035</v>
      </c>
      <c r="K60" s="213">
        <f>K59</f>
        <v>555142.35777000047</v>
      </c>
      <c r="L60" s="377"/>
      <c r="M60" s="213">
        <f>M59+L60</f>
        <v>0</v>
      </c>
      <c r="N60" s="213">
        <f>N59+M60</f>
        <v>0</v>
      </c>
      <c r="O60" s="213">
        <f>O59+N60</f>
        <v>0</v>
      </c>
    </row>
    <row r="67" spans="10:10">
      <c r="J67" s="33" t="s">
        <v>125</v>
      </c>
    </row>
  </sheetData>
  <mergeCells count="15">
    <mergeCell ref="B2:O2"/>
    <mergeCell ref="E5:E7"/>
    <mergeCell ref="D5:D7"/>
    <mergeCell ref="C5:C7"/>
    <mergeCell ref="B5:B7"/>
    <mergeCell ref="J5:J6"/>
    <mergeCell ref="I5:I6"/>
    <mergeCell ref="H5:H6"/>
    <mergeCell ref="G5:G6"/>
    <mergeCell ref="C4:K4"/>
    <mergeCell ref="M4:O4"/>
    <mergeCell ref="K5:K7"/>
    <mergeCell ref="M5:M7"/>
    <mergeCell ref="N5:N7"/>
    <mergeCell ref="O5:O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IP61"/>
  <sheetViews>
    <sheetView topLeftCell="J11" zoomScaleNormal="100" workbookViewId="0">
      <selection activeCell="A2" sqref="A2:N23"/>
    </sheetView>
  </sheetViews>
  <sheetFormatPr defaultColWidth="11.42578125" defaultRowHeight="15"/>
  <cols>
    <col min="1" max="1" width="44.140625" style="196" customWidth="1"/>
    <col min="2" max="2" width="20.5703125" style="179" customWidth="1"/>
    <col min="3" max="3" width="17.5703125" style="179" customWidth="1"/>
    <col min="4" max="4" width="16.5703125" style="179" customWidth="1"/>
    <col min="5" max="5" width="17.42578125" style="179" customWidth="1"/>
    <col min="6" max="6" width="16.140625" style="179" customWidth="1"/>
    <col min="7" max="7" width="17.140625" style="179" customWidth="1"/>
    <col min="8" max="8" width="18.42578125" style="179" customWidth="1"/>
    <col min="9" max="9" width="18.42578125" style="174" customWidth="1"/>
    <col min="10" max="10" width="3.85546875" style="174" customWidth="1"/>
    <col min="11" max="13" width="18.42578125" style="174" customWidth="1"/>
    <col min="14" max="15" width="7.5703125" style="435" customWidth="1"/>
    <col min="16" max="16" width="12.42578125" style="182" bestFit="1" customWidth="1"/>
    <col min="17" max="16384" width="11.42578125" style="182"/>
  </cols>
  <sheetData>
    <row r="1" spans="1:250" s="168" customFormat="1" ht="73.5" customHeight="1">
      <c r="A1" s="170"/>
      <c r="B1" s="171"/>
      <c r="C1" s="171"/>
      <c r="D1" s="171"/>
      <c r="E1" s="171"/>
      <c r="F1" s="171"/>
      <c r="G1" s="171"/>
      <c r="H1" s="171"/>
      <c r="I1" s="171"/>
      <c r="J1" s="171"/>
      <c r="K1" s="171"/>
      <c r="L1" s="171"/>
      <c r="M1" s="171"/>
      <c r="N1" s="434"/>
      <c r="O1" s="434"/>
    </row>
    <row r="2" spans="1:250" s="177" customFormat="1" ht="36.75" customHeight="1" thickBot="1">
      <c r="A2" s="687" t="s">
        <v>352</v>
      </c>
      <c r="B2" s="687"/>
      <c r="C2" s="687"/>
      <c r="D2" s="687"/>
      <c r="E2" s="687"/>
      <c r="F2" s="687"/>
      <c r="G2" s="687"/>
      <c r="H2" s="687"/>
      <c r="I2" s="687"/>
      <c r="J2" s="687"/>
      <c r="K2" s="687"/>
      <c r="L2" s="687"/>
      <c r="M2" s="687"/>
      <c r="N2" s="687"/>
      <c r="O2" s="441"/>
    </row>
    <row r="3" spans="1:250" ht="29.25" customHeight="1" thickBot="1">
      <c r="A3" s="184"/>
      <c r="B3" s="682" t="s">
        <v>539</v>
      </c>
      <c r="C3" s="683"/>
      <c r="D3" s="683"/>
      <c r="E3" s="683"/>
      <c r="F3" s="683"/>
      <c r="G3" s="683"/>
      <c r="H3" s="683"/>
      <c r="I3" s="683"/>
      <c r="J3" s="421"/>
      <c r="K3" s="683" t="s">
        <v>381</v>
      </c>
      <c r="L3" s="683"/>
      <c r="M3" s="686"/>
      <c r="N3" s="436"/>
      <c r="O3" s="436"/>
    </row>
    <row r="4" spans="1:250" ht="19.5" customHeight="1">
      <c r="A4" s="754"/>
      <c r="B4" s="662">
        <v>2019</v>
      </c>
      <c r="C4" s="665">
        <f>'Portfolio details  '!D4</f>
        <v>2020</v>
      </c>
      <c r="D4" s="668">
        <f>'Portfolio details  '!E4</f>
        <v>2021</v>
      </c>
      <c r="E4" s="660" t="str">
        <f>'Portfolio details  '!F4</f>
        <v>Q1/2022</v>
      </c>
      <c r="F4" s="660" t="str">
        <f>'Portfolio details  '!G4</f>
        <v>Q2/2022</v>
      </c>
      <c r="G4" s="660" t="str">
        <f>'Portfolio details  '!H4</f>
        <v>Q3/2022</v>
      </c>
      <c r="H4" s="660" t="str">
        <f>'Portfolio details  '!I4</f>
        <v>Q4/2022</v>
      </c>
      <c r="I4" s="671">
        <f>D4+1</f>
        <v>2022</v>
      </c>
      <c r="J4" s="420"/>
      <c r="K4" s="750">
        <v>2023</v>
      </c>
      <c r="L4" s="665">
        <f>K4+1</f>
        <v>2024</v>
      </c>
      <c r="M4" s="752">
        <f>L4+1</f>
        <v>2025</v>
      </c>
      <c r="N4" s="437"/>
      <c r="O4" s="437"/>
    </row>
    <row r="5" spans="1:250" ht="19.5" customHeight="1">
      <c r="A5" s="755"/>
      <c r="B5" s="663"/>
      <c r="C5" s="666"/>
      <c r="D5" s="669"/>
      <c r="E5" s="661"/>
      <c r="F5" s="661"/>
      <c r="G5" s="661"/>
      <c r="H5" s="661"/>
      <c r="I5" s="672"/>
      <c r="J5" s="385"/>
      <c r="K5" s="750"/>
      <c r="L5" s="666"/>
      <c r="M5" s="752"/>
      <c r="N5" s="437"/>
      <c r="O5" s="437"/>
    </row>
    <row r="6" spans="1:250" ht="19.5" customHeight="1" thickBot="1">
      <c r="A6" s="756"/>
      <c r="B6" s="664"/>
      <c r="C6" s="667"/>
      <c r="D6" s="670"/>
      <c r="E6" s="112"/>
      <c r="F6" s="112"/>
      <c r="G6" s="112"/>
      <c r="H6" s="112"/>
      <c r="I6" s="673"/>
      <c r="J6" s="386"/>
      <c r="K6" s="751"/>
      <c r="L6" s="667"/>
      <c r="M6" s="753"/>
      <c r="N6" s="437"/>
      <c r="O6" s="437"/>
      <c r="P6" s="183"/>
    </row>
    <row r="7" spans="1:250" s="187" customFormat="1" ht="19.5" customHeight="1">
      <c r="A7" s="185" t="s">
        <v>249</v>
      </c>
      <c r="B7" s="381">
        <v>5000</v>
      </c>
      <c r="C7" s="382">
        <v>10000</v>
      </c>
      <c r="D7" s="383">
        <f>C7*2</f>
        <v>20000</v>
      </c>
      <c r="E7" s="384">
        <v>30000</v>
      </c>
      <c r="F7" s="384">
        <v>35000</v>
      </c>
      <c r="G7" s="384">
        <v>37000</v>
      </c>
      <c r="H7" s="384">
        <v>40000</v>
      </c>
      <c r="I7" s="418">
        <f>H7</f>
        <v>40000</v>
      </c>
      <c r="J7" s="387"/>
      <c r="K7" s="384">
        <f>H7</f>
        <v>40000</v>
      </c>
      <c r="L7" s="384">
        <f t="shared" ref="L7:M7" si="0">I7</f>
        <v>40000</v>
      </c>
      <c r="M7" s="384">
        <v>40000</v>
      </c>
      <c r="N7" s="422"/>
      <c r="O7" s="42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2"/>
      <c r="HK7" s="182"/>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row>
    <row r="8" spans="1:250" ht="19.350000000000001" customHeight="1">
      <c r="A8" s="185" t="s">
        <v>250</v>
      </c>
      <c r="B8" s="224">
        <v>0</v>
      </c>
      <c r="C8" s="220">
        <v>0</v>
      </c>
      <c r="D8" s="230">
        <v>0</v>
      </c>
      <c r="E8" s="186"/>
      <c r="F8" s="186"/>
      <c r="G8" s="186"/>
      <c r="H8" s="186"/>
      <c r="I8" s="418">
        <f t="shared" ref="I8:I14" si="1">SUM(E8:H8)</f>
        <v>0</v>
      </c>
      <c r="J8" s="387"/>
      <c r="K8" s="186">
        <v>0</v>
      </c>
      <c r="L8" s="186">
        <v>0</v>
      </c>
      <c r="M8" s="186">
        <v>0</v>
      </c>
      <c r="N8" s="422"/>
      <c r="O8" s="422"/>
    </row>
    <row r="9" spans="1:250" ht="19.350000000000001" customHeight="1">
      <c r="A9" s="185" t="s">
        <v>131</v>
      </c>
      <c r="B9" s="225">
        <v>1000000</v>
      </c>
      <c r="C9" s="225">
        <v>1000200</v>
      </c>
      <c r="D9" s="225">
        <v>1500000</v>
      </c>
      <c r="E9" s="225">
        <f>D9*1.1</f>
        <v>1650000.0000000002</v>
      </c>
      <c r="F9" s="225">
        <f t="shared" ref="F9:H9" si="2">E9*1.1</f>
        <v>1815000.0000000005</v>
      </c>
      <c r="G9" s="225">
        <f t="shared" si="2"/>
        <v>1996500.0000000007</v>
      </c>
      <c r="H9" s="225">
        <f t="shared" si="2"/>
        <v>2196150.0000000009</v>
      </c>
      <c r="I9" s="225">
        <f>H9</f>
        <v>2196150.0000000009</v>
      </c>
      <c r="J9" s="387"/>
      <c r="K9" s="225">
        <f>J9</f>
        <v>0</v>
      </c>
      <c r="L9" s="225">
        <f t="shared" ref="L9:M9" si="3">K9</f>
        <v>0</v>
      </c>
      <c r="M9" s="225">
        <f t="shared" si="3"/>
        <v>0</v>
      </c>
      <c r="N9" s="423"/>
      <c r="O9" s="423"/>
    </row>
    <row r="10" spans="1:250" ht="19.350000000000001" hidden="1" customHeight="1">
      <c r="A10" s="189" t="s">
        <v>251</v>
      </c>
      <c r="B10" s="226">
        <v>12614136</v>
      </c>
      <c r="C10" s="229"/>
      <c r="D10" s="232">
        <f>B9</f>
        <v>1000000</v>
      </c>
      <c r="E10" s="190">
        <f>$D$9</f>
        <v>1500000</v>
      </c>
      <c r="F10" s="190">
        <f>$D$9</f>
        <v>1500000</v>
      </c>
      <c r="G10" s="190">
        <f>$D$9</f>
        <v>1500000</v>
      </c>
      <c r="H10" s="190">
        <f>$D$9</f>
        <v>1500000</v>
      </c>
      <c r="I10" s="418">
        <f t="shared" si="1"/>
        <v>6000000</v>
      </c>
      <c r="J10" s="387"/>
      <c r="K10" s="190"/>
      <c r="L10" s="190"/>
      <c r="M10" s="190"/>
      <c r="N10" s="423"/>
      <c r="O10" s="423"/>
    </row>
    <row r="11" spans="1:250" ht="19.5" customHeight="1">
      <c r="A11" s="185" t="s">
        <v>252</v>
      </c>
      <c r="B11" s="224">
        <v>-50000</v>
      </c>
      <c r="C11" s="220">
        <f>B11</f>
        <v>-50000</v>
      </c>
      <c r="D11" s="230">
        <f>C11*1.3</f>
        <v>-65000</v>
      </c>
      <c r="E11" s="186">
        <f>D11*1.2</f>
        <v>-78000</v>
      </c>
      <c r="F11" s="186">
        <f t="shared" ref="F11:G11" si="4">E11*1.2</f>
        <v>-93600</v>
      </c>
      <c r="G11" s="186">
        <f t="shared" si="4"/>
        <v>-112320</v>
      </c>
      <c r="H11" s="186">
        <f>G11*1.2</f>
        <v>-134784</v>
      </c>
      <c r="I11" s="418">
        <f>H11</f>
        <v>-134784</v>
      </c>
      <c r="J11" s="387"/>
      <c r="K11" s="186"/>
      <c r="L11" s="186"/>
      <c r="M11" s="186"/>
      <c r="N11" s="422"/>
      <c r="O11" s="422"/>
    </row>
    <row r="12" spans="1:250" ht="19.350000000000001" customHeight="1">
      <c r="A12" s="235" t="s">
        <v>130</v>
      </c>
      <c r="B12" s="236">
        <f t="shared" ref="B12:H12" si="5">B9+B11</f>
        <v>950000</v>
      </c>
      <c r="C12" s="236">
        <f t="shared" si="5"/>
        <v>950200</v>
      </c>
      <c r="D12" s="236">
        <f t="shared" si="5"/>
        <v>1435000</v>
      </c>
      <c r="E12" s="236">
        <f t="shared" si="5"/>
        <v>1572000.0000000002</v>
      </c>
      <c r="F12" s="236">
        <f t="shared" si="5"/>
        <v>1721400.0000000005</v>
      </c>
      <c r="G12" s="236">
        <f t="shared" si="5"/>
        <v>1884180.0000000007</v>
      </c>
      <c r="H12" s="236">
        <f t="shared" si="5"/>
        <v>2061366.0000000009</v>
      </c>
      <c r="I12" s="418">
        <f t="shared" si="1"/>
        <v>7238946.0000000028</v>
      </c>
      <c r="J12" s="387"/>
      <c r="K12" s="188">
        <f>K9+K11</f>
        <v>0</v>
      </c>
      <c r="L12" s="188">
        <f>L9+L11</f>
        <v>0</v>
      </c>
      <c r="M12" s="188">
        <f>M9+M11</f>
        <v>0</v>
      </c>
      <c r="N12" s="423"/>
      <c r="O12" s="423"/>
    </row>
    <row r="13" spans="1:250" ht="19.5" customHeight="1">
      <c r="A13" s="191" t="s">
        <v>253</v>
      </c>
      <c r="B13" s="224">
        <v>5000</v>
      </c>
      <c r="C13" s="220">
        <f>B13*1.1</f>
        <v>5500</v>
      </c>
      <c r="D13" s="230">
        <f t="shared" ref="D13:I14" si="6">C13*1.1</f>
        <v>6050.0000000000009</v>
      </c>
      <c r="E13" s="186">
        <f t="shared" si="6"/>
        <v>6655.0000000000018</v>
      </c>
      <c r="F13" s="186">
        <f t="shared" si="6"/>
        <v>7320.5000000000027</v>
      </c>
      <c r="G13" s="186">
        <f t="shared" si="6"/>
        <v>8052.5500000000038</v>
      </c>
      <c r="H13" s="186">
        <f t="shared" si="6"/>
        <v>8857.8050000000057</v>
      </c>
      <c r="I13" s="418">
        <f>H13</f>
        <v>8857.8050000000057</v>
      </c>
      <c r="J13" s="387"/>
      <c r="K13" s="384"/>
      <c r="L13" s="384"/>
      <c r="M13" s="384"/>
      <c r="N13" s="422"/>
      <c r="O13" s="422"/>
    </row>
    <row r="14" spans="1:250" ht="19.5" customHeight="1">
      <c r="A14" s="185" t="s">
        <v>254</v>
      </c>
      <c r="B14" s="224">
        <v>6000</v>
      </c>
      <c r="C14" s="220">
        <f>B14*1.1</f>
        <v>6600.0000000000009</v>
      </c>
      <c r="D14" s="230">
        <f t="shared" si="6"/>
        <v>7260.0000000000018</v>
      </c>
      <c r="E14" s="186">
        <f t="shared" si="6"/>
        <v>7986.0000000000027</v>
      </c>
      <c r="F14" s="186">
        <f t="shared" si="6"/>
        <v>8784.600000000004</v>
      </c>
      <c r="G14" s="186">
        <f t="shared" si="6"/>
        <v>9663.0600000000049</v>
      </c>
      <c r="H14" s="186">
        <f t="shared" si="6"/>
        <v>10629.366000000005</v>
      </c>
      <c r="I14" s="418">
        <f>H14</f>
        <v>10629.366000000005</v>
      </c>
      <c r="J14" s="387"/>
      <c r="K14" s="186"/>
      <c r="L14" s="186"/>
      <c r="M14" s="186"/>
      <c r="N14" s="422"/>
      <c r="O14" s="422"/>
    </row>
    <row r="15" spans="1:250" ht="19.5" customHeight="1">
      <c r="A15" s="235" t="s">
        <v>255</v>
      </c>
      <c r="B15" s="236">
        <f t="shared" ref="B15:M15" si="7">B7+B8+B12+B13+B14</f>
        <v>966000</v>
      </c>
      <c r="C15" s="236">
        <f t="shared" si="7"/>
        <v>972300</v>
      </c>
      <c r="D15" s="236">
        <f t="shared" si="7"/>
        <v>1468310</v>
      </c>
      <c r="E15" s="236">
        <f t="shared" si="7"/>
        <v>1616641.0000000002</v>
      </c>
      <c r="F15" s="236">
        <f t="shared" si="7"/>
        <v>1772505.1000000006</v>
      </c>
      <c r="G15" s="236">
        <f t="shared" si="7"/>
        <v>1938895.6100000008</v>
      </c>
      <c r="H15" s="236">
        <f t="shared" si="7"/>
        <v>2120853.171000001</v>
      </c>
      <c r="I15" s="236">
        <f t="shared" si="7"/>
        <v>7298433.1710000029</v>
      </c>
      <c r="J15" s="388"/>
      <c r="K15" s="236">
        <f t="shared" si="7"/>
        <v>40000</v>
      </c>
      <c r="L15" s="236">
        <f t="shared" si="7"/>
        <v>40000</v>
      </c>
      <c r="M15" s="236">
        <f t="shared" si="7"/>
        <v>40000</v>
      </c>
      <c r="N15" s="424"/>
      <c r="O15" s="424"/>
    </row>
    <row r="16" spans="1:250" ht="42.75" customHeight="1">
      <c r="A16" s="237" t="s">
        <v>674</v>
      </c>
      <c r="B16" s="238"/>
      <c r="C16" s="238"/>
      <c r="D16" s="238"/>
      <c r="E16" s="238"/>
      <c r="F16" s="238"/>
      <c r="G16" s="238"/>
      <c r="H16" s="238"/>
      <c r="I16" s="238"/>
      <c r="J16" s="389"/>
      <c r="K16" s="379"/>
      <c r="L16" s="379"/>
      <c r="M16" s="379"/>
      <c r="N16" s="425"/>
      <c r="O16" s="425"/>
    </row>
    <row r="17" spans="1:15" ht="19.5" customHeight="1">
      <c r="A17" s="192"/>
      <c r="B17" s="193"/>
      <c r="C17" s="193"/>
      <c r="D17" s="193"/>
      <c r="E17" s="193"/>
      <c r="F17" s="193"/>
      <c r="G17" s="193"/>
      <c r="H17" s="193"/>
      <c r="I17" s="194"/>
      <c r="J17" s="390"/>
      <c r="K17" s="194"/>
      <c r="L17" s="194"/>
      <c r="M17" s="194"/>
      <c r="N17" s="426"/>
      <c r="O17" s="426"/>
    </row>
    <row r="18" spans="1:15" ht="19.5" customHeight="1">
      <c r="A18" s="185" t="s">
        <v>256</v>
      </c>
      <c r="B18" s="224">
        <v>0</v>
      </c>
      <c r="C18" s="220">
        <v>0</v>
      </c>
      <c r="D18" s="230">
        <v>0</v>
      </c>
      <c r="E18" s="186">
        <v>0</v>
      </c>
      <c r="F18" s="186">
        <v>0</v>
      </c>
      <c r="G18" s="186">
        <v>0</v>
      </c>
      <c r="H18" s="186">
        <v>0</v>
      </c>
      <c r="I18" s="418">
        <f>SUM(E18:H18)</f>
        <v>0</v>
      </c>
      <c r="J18" s="387"/>
      <c r="K18" s="186"/>
      <c r="L18" s="186"/>
      <c r="M18" s="186"/>
      <c r="N18" s="422"/>
      <c r="O18" s="422"/>
    </row>
    <row r="19" spans="1:15" ht="19.5" customHeight="1">
      <c r="A19" s="191" t="s">
        <v>257</v>
      </c>
      <c r="B19" s="227">
        <v>850000</v>
      </c>
      <c r="C19" s="222">
        <v>1500000</v>
      </c>
      <c r="D19" s="163">
        <f>C19*1.1</f>
        <v>1650000.0000000002</v>
      </c>
      <c r="E19" s="30">
        <f t="shared" ref="E19:G19" si="8">D19*1.1</f>
        <v>1815000.0000000005</v>
      </c>
      <c r="F19" s="30">
        <f t="shared" si="8"/>
        <v>1996500.0000000007</v>
      </c>
      <c r="G19" s="30">
        <f t="shared" si="8"/>
        <v>2196150.0000000009</v>
      </c>
      <c r="H19" s="30">
        <f>G19</f>
        <v>2196150.0000000009</v>
      </c>
      <c r="I19" s="418">
        <f>H19</f>
        <v>2196150.0000000009</v>
      </c>
      <c r="J19" s="387"/>
      <c r="K19" s="186"/>
      <c r="L19" s="186"/>
      <c r="M19" s="186"/>
      <c r="N19" s="422"/>
      <c r="O19" s="422"/>
    </row>
    <row r="20" spans="1:15" ht="19.5" customHeight="1">
      <c r="A20" s="195" t="s">
        <v>258</v>
      </c>
      <c r="B20" s="224">
        <f>B19*0.25</f>
        <v>212500</v>
      </c>
      <c r="C20" s="220">
        <f t="shared" ref="C20:H20" si="9">C19*0.25</f>
        <v>375000</v>
      </c>
      <c r="D20" s="230">
        <f t="shared" si="9"/>
        <v>412500.00000000006</v>
      </c>
      <c r="E20" s="186">
        <f t="shared" si="9"/>
        <v>453750.00000000012</v>
      </c>
      <c r="F20" s="186">
        <f t="shared" si="9"/>
        <v>499125.00000000017</v>
      </c>
      <c r="G20" s="186">
        <f t="shared" si="9"/>
        <v>549037.50000000023</v>
      </c>
      <c r="H20" s="186">
        <f t="shared" si="9"/>
        <v>549037.50000000023</v>
      </c>
      <c r="I20" s="418">
        <f>H20</f>
        <v>549037.50000000023</v>
      </c>
      <c r="J20" s="391"/>
      <c r="K20" s="186"/>
      <c r="L20" s="186"/>
      <c r="M20" s="186"/>
      <c r="N20" s="427"/>
      <c r="O20" s="427"/>
    </row>
    <row r="21" spans="1:15" ht="19.5" customHeight="1">
      <c r="A21" s="185" t="s">
        <v>259</v>
      </c>
      <c r="B21" s="225">
        <f>B19-B20</f>
        <v>637500</v>
      </c>
      <c r="C21" s="225">
        <f t="shared" ref="C21:H21" si="10">C19-C20</f>
        <v>1125000</v>
      </c>
      <c r="D21" s="225">
        <f t="shared" si="10"/>
        <v>1237500.0000000002</v>
      </c>
      <c r="E21" s="225">
        <f t="shared" si="10"/>
        <v>1361250.0000000005</v>
      </c>
      <c r="F21" s="225">
        <f t="shared" si="10"/>
        <v>1497375.0000000005</v>
      </c>
      <c r="G21" s="225">
        <f t="shared" si="10"/>
        <v>1647112.5000000007</v>
      </c>
      <c r="H21" s="225">
        <f t="shared" si="10"/>
        <v>1647112.5000000007</v>
      </c>
      <c r="I21" s="418">
        <f>H21</f>
        <v>1647112.5000000007</v>
      </c>
      <c r="J21" s="392"/>
      <c r="K21" s="188">
        <f>SUM(K19:K20)</f>
        <v>0</v>
      </c>
      <c r="L21" s="188">
        <f>SUM(L19:L20)</f>
        <v>0</v>
      </c>
      <c r="M21" s="188">
        <f>SUM(M19:M20)</f>
        <v>0</v>
      </c>
      <c r="N21" s="422"/>
      <c r="O21" s="422"/>
    </row>
    <row r="22" spans="1:15" ht="19.5" customHeight="1">
      <c r="A22" s="185" t="s">
        <v>260</v>
      </c>
      <c r="B22" s="224"/>
      <c r="C22" s="220"/>
      <c r="D22" s="230"/>
      <c r="E22" s="186"/>
      <c r="F22" s="186"/>
      <c r="G22" s="186"/>
      <c r="H22" s="186"/>
      <c r="I22" s="418">
        <f>SUM(E22:H22)</f>
        <v>0</v>
      </c>
      <c r="J22" s="391"/>
      <c r="K22" s="186"/>
      <c r="L22" s="186"/>
      <c r="M22" s="186"/>
      <c r="N22" s="427"/>
      <c r="O22" s="427"/>
    </row>
    <row r="23" spans="1:15" ht="19.5" customHeight="1">
      <c r="A23" s="235" t="s">
        <v>261</v>
      </c>
      <c r="B23" s="236">
        <f t="shared" ref="B23:I23" si="11">B18+B21+B22</f>
        <v>637500</v>
      </c>
      <c r="C23" s="236">
        <f t="shared" si="11"/>
        <v>1125000</v>
      </c>
      <c r="D23" s="236">
        <f t="shared" si="11"/>
        <v>1237500.0000000002</v>
      </c>
      <c r="E23" s="236">
        <f t="shared" si="11"/>
        <v>1361250.0000000005</v>
      </c>
      <c r="F23" s="236">
        <f t="shared" si="11"/>
        <v>1497375.0000000005</v>
      </c>
      <c r="G23" s="236">
        <f t="shared" si="11"/>
        <v>1647112.5000000007</v>
      </c>
      <c r="H23" s="236">
        <f t="shared" si="11"/>
        <v>1647112.5000000007</v>
      </c>
      <c r="I23" s="214">
        <f t="shared" si="11"/>
        <v>1647112.5000000007</v>
      </c>
      <c r="J23" s="387"/>
      <c r="K23" s="236">
        <f>K18+K21+K22</f>
        <v>0</v>
      </c>
      <c r="L23" s="236">
        <f>L18+L21+L22</f>
        <v>0</v>
      </c>
      <c r="M23" s="236">
        <f>M18+M21+M22</f>
        <v>0</v>
      </c>
      <c r="N23" s="428"/>
      <c r="O23" s="428"/>
    </row>
    <row r="24" spans="1:15" ht="19.5" customHeight="1">
      <c r="A24" s="239" t="s">
        <v>262</v>
      </c>
      <c r="B24" s="236">
        <f t="shared" ref="B24:I24" si="12">B15+B23</f>
        <v>1603500</v>
      </c>
      <c r="C24" s="236">
        <f t="shared" si="12"/>
        <v>2097300</v>
      </c>
      <c r="D24" s="236">
        <f t="shared" si="12"/>
        <v>2705810</v>
      </c>
      <c r="E24" s="236">
        <f t="shared" si="12"/>
        <v>2977891.0000000009</v>
      </c>
      <c r="F24" s="236">
        <f t="shared" si="12"/>
        <v>3269880.100000001</v>
      </c>
      <c r="G24" s="236">
        <f t="shared" si="12"/>
        <v>3586008.1100000013</v>
      </c>
      <c r="H24" s="236">
        <f t="shared" si="12"/>
        <v>3767965.671000002</v>
      </c>
      <c r="I24" s="236">
        <f t="shared" si="12"/>
        <v>8945545.6710000038</v>
      </c>
      <c r="J24" s="392"/>
      <c r="K24" s="236">
        <f>K15+K23</f>
        <v>40000</v>
      </c>
      <c r="L24" s="236">
        <f>L15+L23</f>
        <v>40000</v>
      </c>
      <c r="M24" s="236">
        <f>M15+M23</f>
        <v>40000</v>
      </c>
      <c r="N24" s="423"/>
      <c r="O24" s="423"/>
    </row>
    <row r="25" spans="1:15" ht="19.5" customHeight="1">
      <c r="B25" s="193"/>
      <c r="C25" s="193"/>
      <c r="D25" s="193"/>
      <c r="E25" s="193"/>
      <c r="F25" s="193"/>
      <c r="G25" s="193"/>
      <c r="H25" s="193"/>
      <c r="I25" s="194"/>
      <c r="J25" s="390"/>
      <c r="K25" s="194"/>
      <c r="L25" s="194"/>
      <c r="M25" s="194"/>
      <c r="N25" s="426"/>
      <c r="O25" s="426"/>
    </row>
    <row r="26" spans="1:15" ht="19.5" customHeight="1">
      <c r="A26" s="185" t="s">
        <v>263</v>
      </c>
      <c r="B26" s="224">
        <v>15000</v>
      </c>
      <c r="C26" s="220">
        <f>B26*1.15</f>
        <v>17250</v>
      </c>
      <c r="D26" s="230">
        <f t="shared" ref="D26:H26" si="13">C26*1.15</f>
        <v>19837.5</v>
      </c>
      <c r="E26" s="186">
        <f t="shared" si="13"/>
        <v>22813.125</v>
      </c>
      <c r="F26" s="186">
        <f t="shared" si="13"/>
        <v>26235.093749999996</v>
      </c>
      <c r="G26" s="186">
        <f t="shared" si="13"/>
        <v>30170.357812499995</v>
      </c>
      <c r="H26" s="186">
        <f t="shared" si="13"/>
        <v>34695.911484374992</v>
      </c>
      <c r="I26" s="418">
        <f t="shared" ref="I26:I30" si="14">H26</f>
        <v>34695.911484374992</v>
      </c>
      <c r="J26" s="393"/>
      <c r="K26" s="186"/>
      <c r="L26" s="186"/>
      <c r="M26" s="186"/>
      <c r="N26" s="429"/>
      <c r="O26" s="429"/>
    </row>
    <row r="27" spans="1:15" ht="19.5" customHeight="1">
      <c r="A27" s="197" t="s">
        <v>264</v>
      </c>
      <c r="B27" s="224">
        <v>150000</v>
      </c>
      <c r="C27" s="220">
        <v>17250</v>
      </c>
      <c r="D27" s="230">
        <v>17250</v>
      </c>
      <c r="E27" s="186">
        <v>17250</v>
      </c>
      <c r="F27" s="186">
        <v>17250</v>
      </c>
      <c r="G27" s="186">
        <v>17250</v>
      </c>
      <c r="H27" s="186">
        <v>17250</v>
      </c>
      <c r="I27" s="418">
        <f t="shared" si="14"/>
        <v>17250</v>
      </c>
      <c r="J27" s="393"/>
      <c r="K27" s="186"/>
      <c r="L27" s="186"/>
      <c r="M27" s="186"/>
      <c r="N27" s="429"/>
      <c r="O27" s="429"/>
    </row>
    <row r="28" spans="1:15" ht="19.5" customHeight="1">
      <c r="A28" s="197" t="s">
        <v>265</v>
      </c>
      <c r="B28" s="224">
        <v>0</v>
      </c>
      <c r="C28" s="220">
        <v>0</v>
      </c>
      <c r="D28" s="230">
        <v>0</v>
      </c>
      <c r="E28" s="186">
        <v>0</v>
      </c>
      <c r="F28" s="186">
        <v>0</v>
      </c>
      <c r="G28" s="186">
        <v>0</v>
      </c>
      <c r="H28" s="186">
        <v>0</v>
      </c>
      <c r="I28" s="418">
        <f t="shared" si="14"/>
        <v>0</v>
      </c>
      <c r="J28" s="393"/>
      <c r="K28" s="186"/>
      <c r="L28" s="186"/>
      <c r="M28" s="186"/>
      <c r="N28" s="429"/>
      <c r="O28" s="429"/>
    </row>
    <row r="29" spans="1:15" ht="19.5" customHeight="1">
      <c r="A29" s="185" t="s">
        <v>266</v>
      </c>
      <c r="B29" s="224">
        <v>0</v>
      </c>
      <c r="C29" s="220">
        <v>0</v>
      </c>
      <c r="D29" s="230">
        <v>0</v>
      </c>
      <c r="E29" s="186">
        <v>0</v>
      </c>
      <c r="F29" s="186">
        <v>0</v>
      </c>
      <c r="G29" s="186">
        <v>0</v>
      </c>
      <c r="H29" s="186">
        <v>0</v>
      </c>
      <c r="I29" s="418">
        <f t="shared" si="14"/>
        <v>0</v>
      </c>
      <c r="J29" s="393"/>
      <c r="K29" s="186"/>
      <c r="L29" s="186"/>
      <c r="M29" s="186"/>
      <c r="N29" s="429"/>
      <c r="O29" s="429"/>
    </row>
    <row r="30" spans="1:15" ht="19.5" customHeight="1">
      <c r="A30" s="235" t="s">
        <v>267</v>
      </c>
      <c r="B30" s="240">
        <v>0</v>
      </c>
      <c r="C30" s="240">
        <v>0</v>
      </c>
      <c r="D30" s="240">
        <v>0</v>
      </c>
      <c r="E30" s="240">
        <v>0</v>
      </c>
      <c r="F30" s="240">
        <v>0</v>
      </c>
      <c r="G30" s="240">
        <v>0</v>
      </c>
      <c r="H30" s="240">
        <v>0</v>
      </c>
      <c r="I30" s="214">
        <f t="shared" si="14"/>
        <v>0</v>
      </c>
      <c r="J30" s="391"/>
      <c r="K30" s="380"/>
      <c r="L30" s="380"/>
      <c r="M30" s="380"/>
      <c r="N30" s="430"/>
      <c r="O30" s="430"/>
    </row>
    <row r="31" spans="1:15" ht="19.5" customHeight="1">
      <c r="A31" s="239" t="s">
        <v>268</v>
      </c>
      <c r="B31" s="236">
        <f t="shared" ref="B31:M31" si="15">SUM(B26:B30)</f>
        <v>165000</v>
      </c>
      <c r="C31" s="236">
        <f t="shared" si="15"/>
        <v>34500</v>
      </c>
      <c r="D31" s="236">
        <f t="shared" si="15"/>
        <v>37087.5</v>
      </c>
      <c r="E31" s="236">
        <f t="shared" si="15"/>
        <v>40063.125</v>
      </c>
      <c r="F31" s="236">
        <f t="shared" si="15"/>
        <v>43485.09375</v>
      </c>
      <c r="G31" s="236">
        <f t="shared" si="15"/>
        <v>47420.357812499991</v>
      </c>
      <c r="H31" s="236">
        <f t="shared" si="15"/>
        <v>51945.911484374992</v>
      </c>
      <c r="I31" s="236">
        <f t="shared" si="15"/>
        <v>51945.911484374992</v>
      </c>
      <c r="J31" s="392"/>
      <c r="K31" s="236">
        <f t="shared" si="15"/>
        <v>0</v>
      </c>
      <c r="L31" s="236">
        <f t="shared" si="15"/>
        <v>0</v>
      </c>
      <c r="M31" s="236">
        <f t="shared" si="15"/>
        <v>0</v>
      </c>
      <c r="N31" s="423"/>
      <c r="O31" s="423"/>
    </row>
    <row r="32" spans="1:15" ht="19.5" customHeight="1">
      <c r="B32" s="193"/>
      <c r="C32" s="193"/>
      <c r="D32" s="193"/>
      <c r="E32" s="193"/>
      <c r="F32" s="193"/>
      <c r="G32" s="193"/>
      <c r="H32" s="193"/>
      <c r="I32" s="194"/>
      <c r="J32" s="390"/>
      <c r="K32" s="194"/>
      <c r="L32" s="194"/>
      <c r="M32" s="194"/>
      <c r="N32" s="426"/>
      <c r="O32" s="426"/>
    </row>
    <row r="33" spans="1:15" ht="19.5" customHeight="1">
      <c r="A33" s="197" t="s">
        <v>269</v>
      </c>
      <c r="B33" s="224">
        <v>0</v>
      </c>
      <c r="C33" s="220">
        <v>0</v>
      </c>
      <c r="D33" s="230">
        <v>0</v>
      </c>
      <c r="E33" s="186">
        <v>0</v>
      </c>
      <c r="F33" s="186">
        <v>0</v>
      </c>
      <c r="G33" s="186">
        <v>0</v>
      </c>
      <c r="H33" s="186">
        <v>0</v>
      </c>
      <c r="I33" s="418">
        <f>SUM(E33:H33)</f>
        <v>0</v>
      </c>
      <c r="J33" s="393"/>
      <c r="K33" s="186"/>
      <c r="L33" s="186"/>
      <c r="M33" s="186"/>
      <c r="N33" s="429"/>
      <c r="O33" s="429"/>
    </row>
    <row r="34" spans="1:15" ht="19.5" customHeight="1">
      <c r="A34" s="185" t="s">
        <v>270</v>
      </c>
      <c r="B34" s="224">
        <v>0</v>
      </c>
      <c r="C34" s="220">
        <v>0</v>
      </c>
      <c r="D34" s="230">
        <v>0</v>
      </c>
      <c r="E34" s="186">
        <v>0</v>
      </c>
      <c r="F34" s="186">
        <v>0</v>
      </c>
      <c r="G34" s="186">
        <v>0</v>
      </c>
      <c r="H34" s="186">
        <v>0</v>
      </c>
      <c r="I34" s="418">
        <f>SUM(E34:H34)</f>
        <v>0</v>
      </c>
      <c r="J34" s="393"/>
      <c r="K34" s="186"/>
      <c r="L34" s="186"/>
      <c r="M34" s="186"/>
      <c r="N34" s="429"/>
      <c r="O34" s="429"/>
    </row>
    <row r="35" spans="1:15" ht="30" customHeight="1">
      <c r="A35" s="198" t="s">
        <v>271</v>
      </c>
      <c r="B35" s="224">
        <v>0</v>
      </c>
      <c r="C35" s="220">
        <v>0</v>
      </c>
      <c r="D35" s="230">
        <v>0</v>
      </c>
      <c r="E35" s="186">
        <v>0</v>
      </c>
      <c r="F35" s="186">
        <v>0</v>
      </c>
      <c r="G35" s="186">
        <v>0</v>
      </c>
      <c r="H35" s="186">
        <v>0</v>
      </c>
      <c r="I35" s="418">
        <f>SUM(E35:H35)</f>
        <v>0</v>
      </c>
      <c r="J35" s="393"/>
      <c r="K35" s="186"/>
      <c r="L35" s="186"/>
      <c r="M35" s="186"/>
      <c r="N35" s="429"/>
      <c r="O35" s="429"/>
    </row>
    <row r="36" spans="1:15" ht="19.5" customHeight="1">
      <c r="A36" s="185" t="s">
        <v>272</v>
      </c>
      <c r="B36" s="224">
        <v>0</v>
      </c>
      <c r="C36" s="220">
        <v>0</v>
      </c>
      <c r="D36" s="230">
        <v>0</v>
      </c>
      <c r="E36" s="186">
        <v>0</v>
      </c>
      <c r="F36" s="186">
        <v>0</v>
      </c>
      <c r="G36" s="186">
        <v>0</v>
      </c>
      <c r="H36" s="186">
        <v>0</v>
      </c>
      <c r="I36" s="418">
        <f>SUM(E36:H36)</f>
        <v>0</v>
      </c>
      <c r="J36" s="393"/>
      <c r="K36" s="186"/>
      <c r="L36" s="186"/>
      <c r="M36" s="186"/>
      <c r="N36" s="429"/>
      <c r="O36" s="429"/>
    </row>
    <row r="37" spans="1:15" ht="19.5" customHeight="1">
      <c r="A37" s="197" t="s">
        <v>273</v>
      </c>
      <c r="B37" s="224">
        <v>0</v>
      </c>
      <c r="C37" s="220">
        <v>0</v>
      </c>
      <c r="D37" s="230">
        <v>0</v>
      </c>
      <c r="E37" s="186">
        <v>0</v>
      </c>
      <c r="F37" s="186">
        <v>0</v>
      </c>
      <c r="G37" s="186">
        <v>0</v>
      </c>
      <c r="H37" s="186">
        <v>0</v>
      </c>
      <c r="I37" s="418">
        <f>SUM(E37:H37)</f>
        <v>0</v>
      </c>
      <c r="J37" s="391"/>
      <c r="K37" s="186"/>
      <c r="L37" s="186"/>
      <c r="M37" s="186"/>
      <c r="N37" s="427"/>
      <c r="O37" s="427"/>
    </row>
    <row r="38" spans="1:15" ht="19.5" customHeight="1">
      <c r="A38" s="239" t="s">
        <v>274</v>
      </c>
      <c r="B38" s="236">
        <f t="shared" ref="B38:I38" si="16">SUM(B33:B37)</f>
        <v>0</v>
      </c>
      <c r="C38" s="236">
        <f t="shared" si="16"/>
        <v>0</v>
      </c>
      <c r="D38" s="236">
        <f t="shared" si="16"/>
        <v>0</v>
      </c>
      <c r="E38" s="236">
        <f t="shared" si="16"/>
        <v>0</v>
      </c>
      <c r="F38" s="236">
        <f t="shared" si="16"/>
        <v>0</v>
      </c>
      <c r="G38" s="236">
        <f t="shared" si="16"/>
        <v>0</v>
      </c>
      <c r="H38" s="236">
        <f t="shared" si="16"/>
        <v>0</v>
      </c>
      <c r="I38" s="236">
        <f t="shared" si="16"/>
        <v>0</v>
      </c>
      <c r="J38" s="392"/>
      <c r="K38" s="236">
        <f>SUM(K33:K37)</f>
        <v>0</v>
      </c>
      <c r="L38" s="236">
        <f>SUM(L33:L37)</f>
        <v>0</v>
      </c>
      <c r="M38" s="236">
        <f>SUM(M33:M37)</f>
        <v>0</v>
      </c>
      <c r="N38" s="423"/>
      <c r="O38" s="423"/>
    </row>
    <row r="39" spans="1:15" ht="19.5" customHeight="1">
      <c r="A39" s="239" t="s">
        <v>275</v>
      </c>
      <c r="B39" s="236">
        <f t="shared" ref="B39:I39" si="17">B31+B38</f>
        <v>165000</v>
      </c>
      <c r="C39" s="236">
        <f t="shared" si="17"/>
        <v>34500</v>
      </c>
      <c r="D39" s="236">
        <f t="shared" si="17"/>
        <v>37087.5</v>
      </c>
      <c r="E39" s="236">
        <f t="shared" si="17"/>
        <v>40063.125</v>
      </c>
      <c r="F39" s="236">
        <f t="shared" si="17"/>
        <v>43485.09375</v>
      </c>
      <c r="G39" s="236">
        <f t="shared" si="17"/>
        <v>47420.357812499991</v>
      </c>
      <c r="H39" s="236">
        <f t="shared" si="17"/>
        <v>51945.911484374992</v>
      </c>
      <c r="I39" s="236">
        <f t="shared" si="17"/>
        <v>51945.911484374992</v>
      </c>
      <c r="J39" s="392"/>
      <c r="K39" s="236">
        <f>K31+K38</f>
        <v>0</v>
      </c>
      <c r="L39" s="236">
        <f>L31+L38</f>
        <v>0</v>
      </c>
      <c r="M39" s="236">
        <f>M31+M38</f>
        <v>0</v>
      </c>
      <c r="N39" s="423"/>
      <c r="O39" s="423"/>
    </row>
    <row r="40" spans="1:15" ht="19.5" customHeight="1">
      <c r="B40" s="193"/>
      <c r="C40" s="193"/>
      <c r="D40" s="193"/>
      <c r="E40" s="193"/>
      <c r="F40" s="193"/>
      <c r="G40" s="193"/>
      <c r="H40" s="193"/>
      <c r="I40" s="194"/>
      <c r="J40" s="390"/>
      <c r="K40" s="194"/>
      <c r="L40" s="194"/>
      <c r="M40" s="194"/>
      <c r="N40" s="426"/>
      <c r="O40" s="426"/>
    </row>
    <row r="41" spans="1:15" ht="19.5" customHeight="1">
      <c r="A41" s="191" t="s">
        <v>276</v>
      </c>
      <c r="B41" s="224">
        <f>B58</f>
        <v>1356800</v>
      </c>
      <c r="C41" s="224">
        <f t="shared" ref="C41:H41" si="18">C58</f>
        <v>1972926</v>
      </c>
      <c r="D41" s="224">
        <f t="shared" si="18"/>
        <v>2569865.5</v>
      </c>
      <c r="E41" s="224">
        <f t="shared" si="18"/>
        <v>2829086.1750000007</v>
      </c>
      <c r="F41" s="224">
        <f t="shared" si="18"/>
        <v>3106779.0362500008</v>
      </c>
      <c r="G41" s="224">
        <f t="shared" si="18"/>
        <v>3407011.0851875013</v>
      </c>
      <c r="H41" s="224">
        <f t="shared" si="18"/>
        <v>3571284.2258156268</v>
      </c>
      <c r="I41" s="418">
        <f t="shared" ref="I41" si="19">H41</f>
        <v>3571284.2258156268</v>
      </c>
      <c r="J41" s="393"/>
      <c r="K41" s="186"/>
      <c r="L41" s="186"/>
      <c r="M41" s="186"/>
      <c r="N41" s="429"/>
      <c r="O41" s="429"/>
    </row>
    <row r="42" spans="1:15" ht="19.5" customHeight="1">
      <c r="A42" s="185" t="s">
        <v>277</v>
      </c>
      <c r="B42" s="224"/>
      <c r="C42" s="220"/>
      <c r="D42" s="230"/>
      <c r="E42" s="186"/>
      <c r="F42" s="186"/>
      <c r="G42" s="186"/>
      <c r="H42" s="186"/>
      <c r="I42" s="418"/>
      <c r="J42" s="393"/>
      <c r="K42" s="186"/>
      <c r="L42" s="186"/>
      <c r="M42" s="186"/>
      <c r="N42" s="429"/>
      <c r="O42" s="429"/>
    </row>
    <row r="43" spans="1:15" ht="19.5" customHeight="1">
      <c r="A43" s="185" t="s">
        <v>278</v>
      </c>
      <c r="B43" s="224">
        <f>'Income Statement '!C59</f>
        <v>81700</v>
      </c>
      <c r="C43" s="224">
        <f>'Income Statement '!D59</f>
        <v>89870.000000000015</v>
      </c>
      <c r="D43" s="224">
        <f>'Income Statement '!E59</f>
        <v>98857.000000000029</v>
      </c>
      <c r="E43" s="224">
        <f>'Income Statement '!F59</f>
        <v>108742.70000000003</v>
      </c>
      <c r="F43" s="224">
        <f>'Income Statement '!G59</f>
        <v>119616.97000000004</v>
      </c>
      <c r="G43" s="224">
        <f>'Income Statement '!H59</f>
        <v>131578.66700000013</v>
      </c>
      <c r="H43" s="224">
        <f>'Income Statement '!I59</f>
        <v>144736.53370000006</v>
      </c>
      <c r="I43" s="418">
        <f t="shared" ref="I43" si="20">H43</f>
        <v>144736.53370000006</v>
      </c>
      <c r="J43" s="394"/>
      <c r="K43" s="186"/>
      <c r="L43" s="186"/>
      <c r="M43" s="186"/>
      <c r="N43" s="431"/>
      <c r="O43" s="431"/>
    </row>
    <row r="44" spans="1:15" ht="19.5" customHeight="1">
      <c r="A44" s="199" t="s">
        <v>279</v>
      </c>
      <c r="B44" s="224"/>
      <c r="C44" s="220"/>
      <c r="D44" s="230"/>
      <c r="E44" s="186"/>
      <c r="F44" s="186"/>
      <c r="G44" s="186"/>
      <c r="H44" s="186"/>
      <c r="I44" s="418"/>
      <c r="J44" s="391"/>
      <c r="K44" s="186"/>
      <c r="L44" s="186"/>
      <c r="M44" s="186"/>
      <c r="N44" s="427"/>
      <c r="O44" s="427"/>
    </row>
    <row r="45" spans="1:15" ht="19.5" customHeight="1">
      <c r="A45" s="185" t="s">
        <v>280</v>
      </c>
      <c r="B45" s="225">
        <f t="shared" ref="B45:I45" si="21">SUM(B41:B44)</f>
        <v>1438500</v>
      </c>
      <c r="C45" s="221">
        <f t="shared" si="21"/>
        <v>2062796</v>
      </c>
      <c r="D45" s="231">
        <f t="shared" si="21"/>
        <v>2668722.5</v>
      </c>
      <c r="E45" s="188">
        <f t="shared" si="21"/>
        <v>2937828.8750000009</v>
      </c>
      <c r="F45" s="188">
        <f t="shared" si="21"/>
        <v>3226396.006250001</v>
      </c>
      <c r="G45" s="188">
        <f t="shared" si="21"/>
        <v>3538589.7521875016</v>
      </c>
      <c r="H45" s="188">
        <f t="shared" si="21"/>
        <v>3716020.7595156268</v>
      </c>
      <c r="I45" s="419">
        <f>SUM(I41:I44)</f>
        <v>3716020.7595156268</v>
      </c>
      <c r="J45" s="388"/>
      <c r="K45" s="188">
        <f>SUM(K41:K44)</f>
        <v>0</v>
      </c>
      <c r="L45" s="188">
        <f>SUM(L41:L44)</f>
        <v>0</v>
      </c>
      <c r="M45" s="188">
        <f>SUM(M41:M44)</f>
        <v>0</v>
      </c>
      <c r="N45" s="427"/>
      <c r="O45" s="427"/>
    </row>
    <row r="46" spans="1:15" ht="27.75" customHeight="1">
      <c r="A46" s="200" t="s">
        <v>123</v>
      </c>
      <c r="B46" s="76"/>
      <c r="C46" s="83"/>
      <c r="D46" s="233"/>
      <c r="E46" s="44"/>
      <c r="F46" s="44"/>
      <c r="G46" s="44"/>
      <c r="H46" s="44"/>
      <c r="I46" s="419"/>
      <c r="J46" s="395"/>
      <c r="K46" s="44"/>
      <c r="L46" s="44"/>
      <c r="M46" s="44"/>
      <c r="N46" s="432"/>
      <c r="O46" s="432"/>
    </row>
    <row r="47" spans="1:15" ht="19.5" customHeight="1">
      <c r="A47" s="241" t="s">
        <v>281</v>
      </c>
      <c r="B47" s="236">
        <f t="shared" ref="B47:I47" si="22">B39+B45</f>
        <v>1603500</v>
      </c>
      <c r="C47" s="236">
        <f>C39+C45+4</f>
        <v>2097300</v>
      </c>
      <c r="D47" s="236">
        <f t="shared" si="22"/>
        <v>2705810</v>
      </c>
      <c r="E47" s="236">
        <f t="shared" si="22"/>
        <v>2977892.0000000009</v>
      </c>
      <c r="F47" s="236">
        <f t="shared" si="22"/>
        <v>3269881.100000001</v>
      </c>
      <c r="G47" s="236">
        <f t="shared" si="22"/>
        <v>3586010.1100000017</v>
      </c>
      <c r="H47" s="236">
        <f t="shared" si="22"/>
        <v>3767966.671000002</v>
      </c>
      <c r="I47" s="236">
        <f t="shared" si="22"/>
        <v>3767966.671000002</v>
      </c>
      <c r="J47" s="392"/>
      <c r="K47" s="236">
        <f>K39+K45</f>
        <v>0</v>
      </c>
      <c r="L47" s="236">
        <f>L39+L45</f>
        <v>0</v>
      </c>
      <c r="M47" s="236">
        <f>M39+M45</f>
        <v>0</v>
      </c>
      <c r="N47" s="423"/>
      <c r="O47" s="423"/>
    </row>
    <row r="48" spans="1:15" s="203" customFormat="1" ht="30.6" customHeight="1">
      <c r="A48" s="201" t="s">
        <v>282</v>
      </c>
      <c r="B48" s="228" t="str">
        <f t="shared" ref="B48:M48" si="23">IF(ABS(B47-B24)&lt;=1,"OK","Assets ≠ L+E")</f>
        <v>OK</v>
      </c>
      <c r="C48" s="223" t="str">
        <f t="shared" si="23"/>
        <v>OK</v>
      </c>
      <c r="D48" s="234" t="str">
        <f t="shared" si="23"/>
        <v>OK</v>
      </c>
      <c r="E48" s="202" t="str">
        <f t="shared" si="23"/>
        <v>OK</v>
      </c>
      <c r="F48" s="202" t="str">
        <f t="shared" si="23"/>
        <v>OK</v>
      </c>
      <c r="G48" s="202" t="str">
        <f t="shared" si="23"/>
        <v>Assets ≠ L+E</v>
      </c>
      <c r="H48" s="202" t="str">
        <f t="shared" si="23"/>
        <v>OK</v>
      </c>
      <c r="I48" s="202" t="str">
        <f t="shared" si="23"/>
        <v>Assets ≠ L+E</v>
      </c>
      <c r="J48" s="396"/>
      <c r="K48" s="202" t="str">
        <f t="shared" si="23"/>
        <v>Assets ≠ L+E</v>
      </c>
      <c r="L48" s="202" t="str">
        <f t="shared" si="23"/>
        <v>Assets ≠ L+E</v>
      </c>
      <c r="M48" s="202" t="str">
        <f t="shared" si="23"/>
        <v>Assets ≠ L+E</v>
      </c>
      <c r="N48" s="422"/>
      <c r="O48" s="422"/>
    </row>
    <row r="49" spans="1:15" s="203" customFormat="1" ht="19.5" customHeight="1">
      <c r="A49" s="204"/>
      <c r="B49" s="205"/>
      <c r="C49" s="205"/>
      <c r="D49" s="205"/>
      <c r="E49" s="205"/>
      <c r="F49" s="205"/>
      <c r="G49" s="205"/>
      <c r="H49" s="205"/>
      <c r="I49" s="206"/>
      <c r="J49" s="397"/>
      <c r="K49" s="206"/>
      <c r="L49" s="206"/>
      <c r="M49" s="206"/>
      <c r="N49" s="433"/>
      <c r="O49" s="433"/>
    </row>
    <row r="50" spans="1:15" ht="19.5" customHeight="1">
      <c r="A50" s="22" t="s">
        <v>283</v>
      </c>
      <c r="B50" s="224"/>
      <c r="C50" s="220"/>
      <c r="D50" s="230"/>
      <c r="E50" s="186"/>
      <c r="F50" s="186"/>
      <c r="G50" s="186"/>
      <c r="H50" s="186"/>
      <c r="I50" s="418">
        <f>SUM(E50:H50)</f>
        <v>0</v>
      </c>
      <c r="J50" s="387"/>
      <c r="K50" s="186"/>
      <c r="L50" s="186"/>
      <c r="M50" s="186"/>
      <c r="N50" s="422"/>
      <c r="O50" s="422"/>
    </row>
    <row r="51" spans="1:15" ht="19.5" customHeight="1">
      <c r="A51" s="197"/>
      <c r="B51" s="224"/>
      <c r="C51" s="220"/>
      <c r="D51" s="230"/>
      <c r="E51" s="186"/>
      <c r="F51" s="186"/>
      <c r="G51" s="186"/>
      <c r="H51" s="186"/>
      <c r="I51" s="418">
        <f>SUM(E51:H51)</f>
        <v>0</v>
      </c>
      <c r="J51" s="387"/>
      <c r="K51" s="186"/>
      <c r="L51" s="186"/>
      <c r="M51" s="186"/>
      <c r="N51" s="422"/>
      <c r="O51" s="422"/>
    </row>
    <row r="52" spans="1:15" ht="19.5" customHeight="1">
      <c r="A52" s="197"/>
      <c r="B52" s="224"/>
      <c r="C52" s="220"/>
      <c r="D52" s="230"/>
      <c r="E52" s="186"/>
      <c r="F52" s="186"/>
      <c r="G52" s="186"/>
      <c r="H52" s="186"/>
      <c r="I52" s="418">
        <f>SUM(E52:H52)</f>
        <v>0</v>
      </c>
      <c r="J52" s="387"/>
      <c r="K52" s="186"/>
      <c r="L52" s="186"/>
      <c r="M52" s="186"/>
      <c r="N52" s="422"/>
      <c r="O52" s="422"/>
    </row>
    <row r="53" spans="1:15" ht="19.5" customHeight="1">
      <c r="A53" s="197"/>
      <c r="B53" s="224"/>
      <c r="C53" s="220"/>
      <c r="D53" s="230"/>
      <c r="E53" s="186"/>
      <c r="F53" s="186"/>
      <c r="G53" s="186"/>
      <c r="H53" s="186"/>
      <c r="I53" s="418">
        <f>SUM(E53:H53)</f>
        <v>0</v>
      </c>
      <c r="J53" s="387"/>
      <c r="K53" s="186"/>
      <c r="L53" s="186"/>
      <c r="M53" s="186"/>
      <c r="N53" s="422"/>
      <c r="O53" s="422"/>
    </row>
    <row r="54" spans="1:15" ht="19.5" customHeight="1">
      <c r="A54" s="239" t="s">
        <v>284</v>
      </c>
      <c r="B54" s="236">
        <f t="shared" ref="B54:H54" si="24">SUM(B51:B53)</f>
        <v>0</v>
      </c>
      <c r="C54" s="236">
        <f t="shared" si="24"/>
        <v>0</v>
      </c>
      <c r="D54" s="236">
        <f t="shared" si="24"/>
        <v>0</v>
      </c>
      <c r="E54" s="236">
        <f t="shared" si="24"/>
        <v>0</v>
      </c>
      <c r="F54" s="236">
        <f t="shared" si="24"/>
        <v>0</v>
      </c>
      <c r="G54" s="236">
        <f t="shared" si="24"/>
        <v>0</v>
      </c>
      <c r="H54" s="236">
        <f t="shared" si="24"/>
        <v>0</v>
      </c>
      <c r="I54" s="236">
        <f>SUM(I51:I53)</f>
        <v>0</v>
      </c>
      <c r="J54" s="392"/>
      <c r="K54" s="236">
        <f>SUM(K51:K53)</f>
        <v>0</v>
      </c>
      <c r="L54" s="236">
        <f>SUM(L51:L53)</f>
        <v>0</v>
      </c>
      <c r="M54" s="236">
        <f>SUM(M51:M53)</f>
        <v>0</v>
      </c>
      <c r="N54" s="423"/>
      <c r="O54" s="423"/>
    </row>
    <row r="55" spans="1:15" ht="25.15" customHeight="1">
      <c r="A55" s="196" t="s">
        <v>122</v>
      </c>
      <c r="B55" s="208">
        <f>B47-B24</f>
        <v>0</v>
      </c>
      <c r="C55" s="208">
        <f>C47-C24</f>
        <v>0</v>
      </c>
      <c r="D55" s="208">
        <f>D47-D24</f>
        <v>0</v>
      </c>
      <c r="E55" s="208">
        <f>E47-E24</f>
        <v>1</v>
      </c>
      <c r="F55" s="208">
        <f>F24-F47</f>
        <v>-1</v>
      </c>
      <c r="G55" s="208">
        <f>G24-G47</f>
        <v>-2.0000000004656613</v>
      </c>
      <c r="H55" s="208">
        <f>H24-H47</f>
        <v>-1</v>
      </c>
      <c r="I55" s="208">
        <f>I24-I47</f>
        <v>5177579.0000000019</v>
      </c>
      <c r="J55" s="208"/>
      <c r="K55" s="208"/>
      <c r="L55" s="208"/>
      <c r="M55" s="208"/>
      <c r="N55" s="438"/>
      <c r="O55" s="438"/>
    </row>
    <row r="56" spans="1:15">
      <c r="H56" s="209"/>
      <c r="I56" s="210"/>
      <c r="J56" s="210"/>
      <c r="K56" s="210"/>
      <c r="L56" s="210"/>
      <c r="M56" s="210"/>
      <c r="N56" s="439"/>
      <c r="O56" s="439"/>
    </row>
    <row r="57" spans="1:15" ht="20.100000000000001" customHeight="1"/>
    <row r="58" spans="1:15" ht="20.100000000000001" customHeight="1">
      <c r="B58" s="208">
        <v>1356800</v>
      </c>
      <c r="C58" s="208">
        <v>1972926</v>
      </c>
      <c r="D58" s="208">
        <v>2569865.5</v>
      </c>
      <c r="E58" s="208">
        <v>2829086.1750000007</v>
      </c>
      <c r="F58" s="208">
        <v>3106779.0362500008</v>
      </c>
      <c r="G58" s="208">
        <v>3407011.0851875013</v>
      </c>
      <c r="H58" s="208">
        <v>3571284.2258156268</v>
      </c>
      <c r="I58" s="208">
        <v>8388929.8888156284</v>
      </c>
    </row>
    <row r="59" spans="1:15" ht="20.100000000000001" customHeight="1">
      <c r="A59" s="182"/>
      <c r="B59" s="182"/>
      <c r="C59" s="182"/>
      <c r="D59" s="182"/>
      <c r="E59" s="182"/>
      <c r="F59" s="182"/>
      <c r="G59" s="182"/>
      <c r="H59" s="182"/>
      <c r="I59" s="168"/>
      <c r="J59" s="168"/>
      <c r="K59" s="168"/>
      <c r="L59" s="168"/>
      <c r="M59" s="168"/>
      <c r="N59" s="440"/>
      <c r="O59" s="440"/>
    </row>
    <row r="60" spans="1:15" ht="20.100000000000001" customHeight="1">
      <c r="A60" s="182" t="s">
        <v>735</v>
      </c>
      <c r="B60" s="182">
        <f>B27+B33+B34+B35</f>
        <v>150000</v>
      </c>
      <c r="C60" s="182">
        <f t="shared" ref="C60:M60" si="25">C27+C33+C34+C35</f>
        <v>17250</v>
      </c>
      <c r="D60" s="182">
        <f t="shared" si="25"/>
        <v>17250</v>
      </c>
      <c r="E60" s="182">
        <f t="shared" si="25"/>
        <v>17250</v>
      </c>
      <c r="F60" s="182">
        <f t="shared" si="25"/>
        <v>17250</v>
      </c>
      <c r="G60" s="182">
        <f t="shared" si="25"/>
        <v>17250</v>
      </c>
      <c r="H60" s="182">
        <f t="shared" si="25"/>
        <v>17250</v>
      </c>
      <c r="I60" s="182">
        <f t="shared" si="25"/>
        <v>17250</v>
      </c>
      <c r="J60" s="182">
        <f t="shared" si="25"/>
        <v>0</v>
      </c>
      <c r="K60" s="182">
        <f t="shared" si="25"/>
        <v>0</v>
      </c>
      <c r="L60" s="182">
        <f t="shared" si="25"/>
        <v>0</v>
      </c>
      <c r="M60" s="182">
        <f t="shared" si="25"/>
        <v>0</v>
      </c>
      <c r="N60" s="440"/>
      <c r="O60" s="440"/>
    </row>
    <row r="61" spans="1:15">
      <c r="A61" s="182"/>
      <c r="B61" s="182"/>
      <c r="C61" s="182"/>
      <c r="D61" s="182"/>
      <c r="E61" s="182"/>
      <c r="F61" s="182"/>
      <c r="G61" s="182"/>
      <c r="H61" s="182"/>
      <c r="I61" s="168"/>
      <c r="J61" s="168"/>
      <c r="K61" s="168"/>
      <c r="L61" s="168"/>
      <c r="M61" s="168"/>
      <c r="N61" s="440"/>
      <c r="O61" s="440"/>
    </row>
  </sheetData>
  <mergeCells count="15">
    <mergeCell ref="B3:I3"/>
    <mergeCell ref="A2:N2"/>
    <mergeCell ref="I4:I6"/>
    <mergeCell ref="K4:K6"/>
    <mergeCell ref="L4:L6"/>
    <mergeCell ref="M4:M6"/>
    <mergeCell ref="A4:A6"/>
    <mergeCell ref="K3:M3"/>
    <mergeCell ref="B4:B6"/>
    <mergeCell ref="C4:C6"/>
    <mergeCell ref="D4:D6"/>
    <mergeCell ref="E4:E5"/>
    <mergeCell ref="F4:F5"/>
    <mergeCell ref="G4:G5"/>
    <mergeCell ref="H4:H5"/>
  </mergeCells>
  <conditionalFormatting sqref="D48:J48 D16:O16 B16 B48 B46:H46 J46">
    <cfRule type="cellIs" dxfId="3" priority="5" operator="equal">
      <formula>"OK"</formula>
    </cfRule>
  </conditionalFormatting>
  <conditionalFormatting sqref="C16 C48">
    <cfRule type="cellIs" dxfId="2" priority="4" operator="equal">
      <formula>"OK"</formula>
    </cfRule>
  </conditionalFormatting>
  <conditionalFormatting sqref="K46:M46">
    <cfRule type="cellIs" dxfId="1" priority="2" operator="equal">
      <formula>"OK"</formula>
    </cfRule>
  </conditionalFormatting>
  <conditionalFormatting sqref="K48:M48">
    <cfRule type="cellIs" dxfId="0" priority="1" operator="equal">
      <formula>"OK"</formula>
    </cfRule>
  </conditionalFormatting>
  <dataValidations count="5">
    <dataValidation type="decimal" operator="greaterThanOrEqual" showErrorMessage="1" errorTitle="Invalid Entry" error="Please enter a number greater than or equal to zero.  Only zero (0) and positive (+) numbers are allowed." sqref="B13:I13 I14" xr:uid="{00000000-0002-0000-0800-000000000000}">
      <formula1>0</formula1>
    </dataValidation>
    <dataValidation type="decimal" operator="greaterThanOrEqual" allowBlank="1" showInputMessage="1" showErrorMessage="1" sqref="B33:H36 B47:O47 B26:I29 B18:H19 B24:O24 B31:O31 B38:O39 B12:H12 I19:I20 K12:M12 B8:B10 C8:H8 C10:H10 C9:I9 B21:O21 B41:I41 I43 K9:M9" xr:uid="{00000000-0002-0000-0800-000001000000}">
      <formula1>0</formula1>
    </dataValidation>
    <dataValidation type="custom" showInputMessage="1" showErrorMessage="1" errorTitle="Invalid Entry" error="Please enter a number.  Only numbers are allowed." sqref="I23:O23 B37:H37 B7:H7 I45:O45 I15:O15 B30:H30 B20:H20 B22:H23 I54:O54 B50:H54 B14:H15 B42:H45" xr:uid="{00000000-0002-0000-0800-000002000000}">
      <formula1>ISNUMBER(B7)</formula1>
    </dataValidation>
    <dataValidation type="decimal" operator="lessThanOrEqual" showInputMessage="1" showErrorMessage="1" errorTitle="Invalid Entry" error="Please enter a number less than or equal to zero.  Only zero (0) and negative (-) numbers are allowed." sqref="B11:I11" xr:uid="{00000000-0002-0000-0800-000003000000}">
      <formula1>0</formula1>
    </dataValidation>
    <dataValidation type="whole" operator="greaterThanOrEqual" allowBlank="1" showInputMessage="1" showErrorMessage="1" sqref="I32:O37 I12 I50:O53 I18 I30 I22:O22 K13:M14 N7:O14 I44 J7:J14 I7:I8 I10 J18:O20 J26:O30 J41:O44 I42 K7:M8 K10:M11" xr:uid="{00000000-0002-0000-0800-000004000000}">
      <formula1>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16</vt:i4>
      </vt:variant>
      <vt:variant>
        <vt:lpstr>Charts</vt:lpstr>
      </vt:variant>
      <vt:variant>
        <vt:i4>2</vt:i4>
      </vt:variant>
      <vt:variant>
        <vt:lpstr>Named Ranges</vt:lpstr>
      </vt:variant>
      <vt:variant>
        <vt:i4>2</vt:i4>
      </vt:variant>
    </vt:vector>
  </HeadingPairs>
  <TitlesOfParts>
    <vt:vector size="20" baseType="lpstr">
      <vt:lpstr>Basic Info</vt:lpstr>
      <vt:lpstr>Parameters </vt:lpstr>
      <vt:lpstr>Required documentation</vt:lpstr>
      <vt:lpstr>Staffing</vt:lpstr>
      <vt:lpstr>Qualitative assessment</vt:lpstr>
      <vt:lpstr>Risk Assessment</vt:lpstr>
      <vt:lpstr>Portfolio details  </vt:lpstr>
      <vt:lpstr>Income Statement </vt:lpstr>
      <vt:lpstr>Balance Sheet </vt:lpstr>
      <vt:lpstr>Cashflow </vt:lpstr>
      <vt:lpstr>Debt and Funding</vt:lpstr>
      <vt:lpstr>Ratios </vt:lpstr>
      <vt:lpstr>Scoring</vt:lpstr>
      <vt:lpstr>Dashborad  </vt:lpstr>
      <vt:lpstr>DFI Matching </vt:lpstr>
      <vt:lpstr>Definitions </vt:lpstr>
      <vt:lpstr>Chart2</vt:lpstr>
      <vt:lpstr>Chart1</vt:lpstr>
      <vt:lpstr>'Portfolio details  '!Print_Area</vt:lpstr>
      <vt:lpstr>Staffing!Print_Area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Ziad AlRefai</dc:creator>
  <cp:lastModifiedBy>ziad alrefai</cp:lastModifiedBy>
  <dcterms:created xsi:type="dcterms:W3CDTF">2015-06-05T18:17:20Z</dcterms:created>
  <dcterms:modified xsi:type="dcterms:W3CDTF">2022-11-30T22:24:16Z</dcterms:modified>
</cp:coreProperties>
</file>